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235" windowHeight="8445" tabRatio="658" activeTab="18"/>
  </bookViews>
  <sheets>
    <sheet name="Jan " sheetId="1" r:id="rId1"/>
    <sheet name="Feb " sheetId="2" r:id="rId2"/>
    <sheet name="Mar " sheetId="3" r:id="rId3"/>
    <sheet name="Q1" sheetId="4" r:id="rId4"/>
    <sheet name="Apr " sheetId="5" r:id="rId5"/>
    <sheet name="May " sheetId="6" r:id="rId6"/>
    <sheet name="Jun " sheetId="7" r:id="rId7"/>
    <sheet name="Q2" sheetId="8" r:id="rId8"/>
    <sheet name="Semi 1" sheetId="9" r:id="rId9"/>
    <sheet name="Jul " sheetId="10" r:id="rId10"/>
    <sheet name="Aug " sheetId="11" r:id="rId11"/>
    <sheet name="Sept " sheetId="12" r:id="rId12"/>
    <sheet name="Q3" sheetId="13" r:id="rId13"/>
    <sheet name="Oct " sheetId="14" r:id="rId14"/>
    <sheet name="Nov" sheetId="15" r:id="rId15"/>
    <sheet name="Dec " sheetId="16" r:id="rId16"/>
    <sheet name="Q4" sheetId="17" r:id="rId17"/>
    <sheet name="Semi 2" sheetId="18" r:id="rId18"/>
    <sheet name="Annual" sheetId="19" r:id="rId19"/>
  </sheets>
  <definedNames>
    <definedName name="_xlnm.Print_Area" localSheetId="18">'Annual'!$A$1:$E$93</definedName>
    <definedName name="_xlnm.Print_Area" localSheetId="4">'Apr '!$A$1:$E$86</definedName>
    <definedName name="_xlnm.Print_Area" localSheetId="10">'Aug '!$A$1:$E$86</definedName>
    <definedName name="_xlnm.Print_Area" localSheetId="15">'Dec '!$A$1:$E$86</definedName>
    <definedName name="_xlnm.Print_Area" localSheetId="1">'Feb '!$A$1:$E$86</definedName>
    <definedName name="_xlnm.Print_Area" localSheetId="0">'Jan '!$A$1:$E$86</definedName>
    <definedName name="_xlnm.Print_Area" localSheetId="9">'Jul '!$A$1:$E$86</definedName>
    <definedName name="_xlnm.Print_Area" localSheetId="6">'Jun '!$A$1:$E$86</definedName>
    <definedName name="_xlnm.Print_Area" localSheetId="2">'Mar '!$A$1:$E$86</definedName>
    <definedName name="_xlnm.Print_Area" localSheetId="5">'May '!$A$1:$E$86</definedName>
    <definedName name="_xlnm.Print_Area" localSheetId="14">'Nov'!$A$1:$E$86</definedName>
    <definedName name="_xlnm.Print_Area" localSheetId="13">'Oct '!$A$1:$E$86</definedName>
    <definedName name="_xlnm.Print_Area" localSheetId="3">'Q1'!$A$1:$E$86</definedName>
    <definedName name="_xlnm.Print_Area" localSheetId="7">'Q2'!$A$1:$E$86</definedName>
    <definedName name="_xlnm.Print_Area" localSheetId="12">'Q3'!$A$1:$E$86</definedName>
    <definedName name="_xlnm.Print_Area" localSheetId="16">'Q4'!$A$1:$E$86</definedName>
    <definedName name="_xlnm.Print_Area" localSheetId="8">'Semi 1'!$A$1:$E$86</definedName>
    <definedName name="_xlnm.Print_Area" localSheetId="17">'Semi 2'!$A$1:$E$86</definedName>
    <definedName name="_xlnm.Print_Area" localSheetId="11">'Sept '!$A$1:$E$86</definedName>
  </definedNames>
  <calcPr fullCalcOnLoad="1"/>
</workbook>
</file>

<file path=xl/sharedStrings.xml><?xml version="1.0" encoding="utf-8"?>
<sst xmlns="http://schemas.openxmlformats.org/spreadsheetml/2006/main" count="1960" uniqueCount="106">
  <si>
    <t>MONTHLY REPORTING FORM</t>
  </si>
  <si>
    <t>Adoption Guarantee Organizations</t>
  </si>
  <si>
    <t>Dog</t>
  </si>
  <si>
    <t>Cat</t>
  </si>
  <si>
    <t>Total</t>
  </si>
  <si>
    <t>A</t>
  </si>
  <si>
    <t>BEGINNING SHELTER COUNT</t>
  </si>
  <si>
    <t>INTAKE (Live Dogs &amp; Cats Only)</t>
  </si>
  <si>
    <t>From the Public</t>
  </si>
  <si>
    <t>Healthy</t>
  </si>
  <si>
    <t xml:space="preserve">Treatable – Rehabilitatable </t>
  </si>
  <si>
    <t xml:space="preserve">Treatable – Manageable </t>
  </si>
  <si>
    <t>Unhealthy &amp; Untreatable</t>
  </si>
  <si>
    <t>B</t>
  </si>
  <si>
    <t>Subtotal Intake from the Public</t>
  </si>
  <si>
    <t>Incoming Transfers from Organizations within Community/Coalition</t>
  </si>
  <si>
    <t>C</t>
  </si>
  <si>
    <t>Subtotal Intake from Incoming Transfers from Orgs within Community/Coalition</t>
  </si>
  <si>
    <t>Incoming Transfers from Organizations outside Community/Coalition</t>
  </si>
  <si>
    <t>D</t>
  </si>
  <si>
    <t>Subtotal Intake from Incoming Transfers from Orgs outside Community/Coalition</t>
  </si>
  <si>
    <t>From Owners/Guardians Requesting Euthanasia</t>
  </si>
  <si>
    <t>E</t>
  </si>
  <si>
    <t>Subtotal Intake from Owners/Guardians Requesting Euthanasia</t>
  </si>
  <si>
    <t>F</t>
  </si>
  <si>
    <r>
      <t>Total Intake</t>
    </r>
    <r>
      <rPr>
        <sz val="9"/>
        <rFont val="Arial"/>
        <family val="2"/>
      </rPr>
      <t xml:space="preserve">    [B + C + D + E]</t>
    </r>
  </si>
  <si>
    <t>G</t>
  </si>
  <si>
    <t xml:space="preserve">Owner/Guardian Requested Euthanasia (Unhealthy &amp; Untreatable Only) </t>
  </si>
  <si>
    <t>H</t>
  </si>
  <si>
    <r>
      <t xml:space="preserve">ADJUSTED TOTAL INTAKE  </t>
    </r>
    <r>
      <rPr>
        <sz val="9"/>
        <rFont val="Arial"/>
        <family val="2"/>
      </rPr>
      <t>[F minus G]</t>
    </r>
  </si>
  <si>
    <r>
      <t xml:space="preserve">ADOPTIONS </t>
    </r>
    <r>
      <rPr>
        <sz val="9"/>
        <rFont val="Arial"/>
        <family val="2"/>
      </rPr>
      <t>(only dogs and cats adopted by the public)</t>
    </r>
  </si>
  <si>
    <t>Involving Dogs and Cats from Animal Control and Traditional Shelters</t>
  </si>
  <si>
    <t>Subtotal Adoptions Involving Dogs and Cats from Animal Control</t>
  </si>
  <si>
    <t>Involving Dogs and Cats From the Public and Other Organizations</t>
  </si>
  <si>
    <t>Subtotal Adoptions Involving Dogs and Cats From the Public and Other Organizations</t>
  </si>
  <si>
    <t>I</t>
  </si>
  <si>
    <t>TOTAL ADOPTIONS</t>
  </si>
  <si>
    <r>
      <t xml:space="preserve">OUTGOING TRANSFERS </t>
    </r>
    <r>
      <rPr>
        <i/>
        <sz val="9"/>
        <rFont val="Arial"/>
        <family val="2"/>
      </rPr>
      <t>to Organizations within Community/Coalition</t>
    </r>
  </si>
  <si>
    <t>J</t>
  </si>
  <si>
    <r>
      <t xml:space="preserve">TOTAL OUTGOING TRANSFERS </t>
    </r>
    <r>
      <rPr>
        <b/>
        <i/>
        <sz val="9"/>
        <rFont val="Arial"/>
        <family val="2"/>
      </rPr>
      <t>to Orgs within Community/Coalition</t>
    </r>
  </si>
  <si>
    <r>
      <t xml:space="preserve">OUTGOING TRANSFERS </t>
    </r>
    <r>
      <rPr>
        <i/>
        <sz val="9"/>
        <rFont val="Arial"/>
        <family val="2"/>
      </rPr>
      <t>to Organizations outside Community/Coalition</t>
    </r>
  </si>
  <si>
    <t>K</t>
  </si>
  <si>
    <r>
      <t xml:space="preserve">TOTAL OUTGOING TRANSFERS </t>
    </r>
    <r>
      <rPr>
        <b/>
        <i/>
        <sz val="9"/>
        <rFont val="Arial"/>
        <family val="2"/>
      </rPr>
      <t>to Orgs outside Community/Coalition</t>
    </r>
  </si>
  <si>
    <t>L</t>
  </si>
  <si>
    <t>RETURN TO OWNER/GUARDIAN</t>
  </si>
  <si>
    <t xml:space="preserve">DOGS &amp; CATS EUTHANIZED  </t>
  </si>
  <si>
    <t>M</t>
  </si>
  <si>
    <r>
      <t xml:space="preserve">Healthy     </t>
    </r>
    <r>
      <rPr>
        <i/>
        <sz val="9"/>
        <rFont val="Arial"/>
        <family val="2"/>
      </rPr>
      <t>(Includes Owner/Guardian Requested Euthanasia)</t>
    </r>
  </si>
  <si>
    <t>N</t>
  </si>
  <si>
    <r>
      <t xml:space="preserve">Treatable </t>
    </r>
    <r>
      <rPr>
        <sz val="9"/>
        <color indexed="8"/>
        <rFont val="Arial"/>
        <family val="2"/>
      </rPr>
      <t xml:space="preserve">– </t>
    </r>
    <r>
      <rPr>
        <sz val="9"/>
        <rFont val="Arial"/>
        <family val="2"/>
      </rPr>
      <t xml:space="preserve">Rehabilitatable   </t>
    </r>
    <r>
      <rPr>
        <i/>
        <sz val="9"/>
        <rFont val="Arial"/>
        <family val="2"/>
      </rPr>
      <t>(Includes Owner/Guardian Requested Euthanasia)</t>
    </r>
  </si>
  <si>
    <t>O</t>
  </si>
  <si>
    <r>
      <t xml:space="preserve">Treatable </t>
    </r>
    <r>
      <rPr>
        <sz val="9"/>
        <color indexed="8"/>
        <rFont val="Arial"/>
        <family val="2"/>
      </rPr>
      <t xml:space="preserve">– </t>
    </r>
    <r>
      <rPr>
        <sz val="9"/>
        <rFont val="Arial"/>
        <family val="2"/>
      </rPr>
      <t xml:space="preserve">Manageable   </t>
    </r>
    <r>
      <rPr>
        <i/>
        <sz val="9"/>
        <rFont val="Arial"/>
        <family val="2"/>
      </rPr>
      <t>(Includes Owner/Guardian Requested Euthanasia)</t>
    </r>
  </si>
  <si>
    <t>P</t>
  </si>
  <si>
    <r>
      <t xml:space="preserve">Unhealthy &amp; Untreatable  </t>
    </r>
    <r>
      <rPr>
        <i/>
        <sz val="9"/>
        <rFont val="Arial"/>
        <family val="2"/>
      </rPr>
      <t xml:space="preserve">(Includes Owner/Guardian Requested Euthanasia) </t>
    </r>
  </si>
  <si>
    <t>Q</t>
  </si>
  <si>
    <t>Total Euthanasia    [M + N + O + P]</t>
  </si>
  <si>
    <t>R</t>
  </si>
  <si>
    <t>S</t>
  </si>
  <si>
    <t>ADJUSTED TOTAL EUTHANASIA  [Q minus R]</t>
  </si>
  <si>
    <t>T</t>
  </si>
  <si>
    <r>
      <t xml:space="preserve">SUBTOTAL  OUTCOMES   [I + J + K + L + S]  </t>
    </r>
    <r>
      <rPr>
        <i/>
        <sz val="9"/>
        <rFont val="Arial"/>
        <family val="2"/>
      </rPr>
      <t xml:space="preserve">Excludes Owner/Guardian Requested Euthanasia (Unhealthy &amp; Untreatable Only)  </t>
    </r>
  </si>
  <si>
    <t>U</t>
  </si>
  <si>
    <t>DIED OR LOST IN SHELTER/CARE</t>
  </si>
  <si>
    <t>V</t>
  </si>
  <si>
    <r>
      <t xml:space="preserve">TOTAL OUTCOMES   [T + U]   </t>
    </r>
    <r>
      <rPr>
        <i/>
        <sz val="9"/>
        <rFont val="Arial"/>
        <family val="2"/>
      </rPr>
      <t xml:space="preserve">Excludes Owner/Guardian Requested Euthanasia (Unhealthy &amp; Untreatable Only)  </t>
    </r>
  </si>
  <si>
    <t>W</t>
  </si>
  <si>
    <t>ENDING SHELTER COUNT</t>
  </si>
  <si>
    <r>
      <t xml:space="preserve">In a perfect world, the Ending Count is equal to the Beginning Count (A) plus Total Intake (F) minus all Outcomes (R+V). </t>
    </r>
    <r>
      <rPr>
        <b/>
        <sz val="11"/>
        <rFont val="Times New Roman"/>
        <family val="1"/>
      </rPr>
      <t xml:space="preserve"> -------&gt;</t>
    </r>
  </si>
  <si>
    <t>If your reported Ending Count does not match these numbers, please go back through your data and be sure you didn't miss something (i.e., animals in foster, adoptions, transfers, etc.).  If all animals have been accounted for and the reported Ending Count is different, please indicate in the comment section.</t>
  </si>
  <si>
    <t>Comments:</t>
  </si>
  <si>
    <t>I agree that in completing this form, we have used the Maddie's Fund definitions of “Healthy,” “Treatable - Manageable,” “Treatable - Rehabilitatable,” and “Unhealthy &amp; Untreatable” as set forth in the attached document titled, “Maddie’s Fund® Categorizations/Definitions of Shelter Animals.”</t>
  </si>
  <si>
    <t>Maddie's Data Collection Grant</t>
  </si>
  <si>
    <t>January</t>
  </si>
  <si>
    <t>March</t>
  </si>
  <si>
    <t>April</t>
  </si>
  <si>
    <t>May</t>
  </si>
  <si>
    <t>June</t>
  </si>
  <si>
    <t>July</t>
  </si>
  <si>
    <t>Quarter 1</t>
  </si>
  <si>
    <t>Quarter 2</t>
  </si>
  <si>
    <t>Semi Annual 1</t>
  </si>
  <si>
    <t>August</t>
  </si>
  <si>
    <t>September</t>
  </si>
  <si>
    <t>Quarter 3</t>
  </si>
  <si>
    <t>November</t>
  </si>
  <si>
    <t>December</t>
  </si>
  <si>
    <t>Quarter 4</t>
  </si>
  <si>
    <t>Semi Annual 2</t>
  </si>
  <si>
    <t>Annual</t>
  </si>
  <si>
    <t>February</t>
  </si>
  <si>
    <r>
      <t>Signature:</t>
    </r>
    <r>
      <rPr>
        <sz val="12"/>
        <rFont val="Times New Roman"/>
        <family val="1"/>
      </rPr>
      <t xml:space="preserve"> ___________________________________________________         </t>
    </r>
    <r>
      <rPr>
        <b/>
        <sz val="12"/>
        <rFont val="Times New Roman"/>
        <family val="1"/>
      </rPr>
      <t>Date:</t>
    </r>
    <r>
      <rPr>
        <sz val="12"/>
        <rFont val="Times New Roman"/>
        <family val="1"/>
      </rPr>
      <t xml:space="preserve"> ________________</t>
    </r>
  </si>
  <si>
    <r>
      <t>Signature:</t>
    </r>
    <r>
      <rPr>
        <sz val="12"/>
        <rFont val="Times New Roman"/>
        <family val="1"/>
      </rPr>
      <t xml:space="preserve"> ___________________________________________________         </t>
    </r>
    <r>
      <rPr>
        <b/>
        <sz val="12"/>
        <rFont val="Times New Roman"/>
        <family val="1"/>
      </rPr>
      <t>Date:</t>
    </r>
    <r>
      <rPr>
        <sz val="12"/>
        <rFont val="Times New Roman"/>
        <family val="1"/>
      </rPr>
      <t xml:space="preserve"> _________________</t>
    </r>
  </si>
  <si>
    <t>October</t>
  </si>
  <si>
    <r>
      <t>Signature:</t>
    </r>
    <r>
      <rPr>
        <sz val="12"/>
        <rFont val="Times New Roman"/>
        <family val="1"/>
      </rPr>
      <t xml:space="preserve"> ____________________________________________________       </t>
    </r>
    <r>
      <rPr>
        <b/>
        <sz val="12"/>
        <rFont val="Times New Roman"/>
        <family val="1"/>
      </rPr>
      <t>Date:</t>
    </r>
    <r>
      <rPr>
        <sz val="12"/>
        <rFont val="Times New Roman"/>
        <family val="1"/>
      </rPr>
      <t xml:space="preserve"> _________________</t>
    </r>
  </si>
  <si>
    <r>
      <t>Signature:</t>
    </r>
    <r>
      <rPr>
        <sz val="12"/>
        <rFont val="Times New Roman"/>
        <family val="1"/>
      </rPr>
      <t xml:space="preserve"> _____________________________________________________       </t>
    </r>
    <r>
      <rPr>
        <b/>
        <sz val="12"/>
        <rFont val="Times New Roman"/>
        <family val="1"/>
      </rPr>
      <t>Date:</t>
    </r>
    <r>
      <rPr>
        <sz val="12"/>
        <rFont val="Times New Roman"/>
        <family val="1"/>
      </rPr>
      <t xml:space="preserve"> _________________</t>
    </r>
  </si>
  <si>
    <t>Subtotal Intake from Incoming Transfers from Orgs WITHIN Community/Coalition</t>
  </si>
  <si>
    <t>Subtotal Intake from Incoming Transfers from Orgs OUTSIDE Community/Coalition</t>
  </si>
  <si>
    <r>
      <t>Total Intake</t>
    </r>
    <r>
      <rPr>
        <sz val="11"/>
        <rFont val="Arial"/>
        <family val="2"/>
      </rPr>
      <t xml:space="preserve">    [B + C + D + E]</t>
    </r>
  </si>
  <si>
    <r>
      <t xml:space="preserve">ADJUSTED TOTAL INTAKE  </t>
    </r>
    <r>
      <rPr>
        <sz val="11"/>
        <rFont val="Arial"/>
        <family val="2"/>
      </rPr>
      <t>[F minus G]</t>
    </r>
  </si>
  <si>
    <t>Subtotal Adoptions Involving Dogs and Cats from Animal Control/Trad Shelters</t>
  </si>
  <si>
    <t>Subtotal Adoptions Involving Dogs and Cats from the Public and Other Organizations</t>
  </si>
  <si>
    <r>
      <t xml:space="preserve">TOTAL OUTGOING TRANSFERS </t>
    </r>
    <r>
      <rPr>
        <b/>
        <i/>
        <sz val="10"/>
        <rFont val="Arial"/>
        <family val="2"/>
      </rPr>
      <t>to Orgs WITHIN Community/Coalition</t>
    </r>
  </si>
  <si>
    <r>
      <t xml:space="preserve">TOTAL OUTGOING TRANSFERS </t>
    </r>
    <r>
      <rPr>
        <b/>
        <i/>
        <sz val="10"/>
        <rFont val="Arial"/>
        <family val="2"/>
      </rPr>
      <t>to Orgs OUTSIDE Community/Coalition</t>
    </r>
  </si>
  <si>
    <t>YEAR: 1/1/2010 - 12/31/2010</t>
  </si>
  <si>
    <t>NAME OF ORGANIZATION:  Miami Dade Coalition</t>
  </si>
  <si>
    <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</si>
</sst>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yy;@"/>
  </numFmts>
  <fonts count="43">
    <font>
      <sz val="10"/>
      <name val="Arial"/>
      <family val="0"/>
    </font>
    <font>
      <sz val="8"/>
      <name val="Arial"/>
      <family val="0"/>
    </font>
    <font>
      <b/>
      <sz val="14"/>
      <name val="Arial"/>
      <family val="2"/>
    </font>
    <font>
      <b/>
      <sz val="12"/>
      <name val="Arial"/>
      <family val="2"/>
    </font>
    <font>
      <b/>
      <sz val="9"/>
      <name val="Arial"/>
      <family val="2"/>
    </font>
    <font>
      <b/>
      <sz val="10"/>
      <name val="Arial"/>
      <family val="2"/>
    </font>
    <font>
      <sz val="9"/>
      <name val="Arial"/>
      <family val="2"/>
    </font>
    <font>
      <i/>
      <sz val="9"/>
      <name val="Arial"/>
      <family val="2"/>
    </font>
    <font>
      <sz val="9"/>
      <color indexed="8"/>
      <name val="Arial"/>
      <family val="2"/>
    </font>
    <font>
      <b/>
      <sz val="9"/>
      <color indexed="8"/>
      <name val="Arial"/>
      <family val="2"/>
    </font>
    <font>
      <b/>
      <sz val="9"/>
      <color indexed="10"/>
      <name val="Arial"/>
      <family val="2"/>
    </font>
    <font>
      <sz val="9"/>
      <color indexed="10"/>
      <name val="Arial"/>
      <family val="2"/>
    </font>
    <font>
      <i/>
      <sz val="9"/>
      <color indexed="8"/>
      <name val="Arial"/>
      <family val="2"/>
    </font>
    <font>
      <b/>
      <i/>
      <sz val="9"/>
      <name val="Arial"/>
      <family val="2"/>
    </font>
    <font>
      <sz val="9"/>
      <name val="Times New Roman"/>
      <family val="1"/>
    </font>
    <font>
      <sz val="8"/>
      <name val="Times New Roman"/>
      <family val="1"/>
    </font>
    <font>
      <b/>
      <sz val="12"/>
      <name val="Times New Roman"/>
      <family val="1"/>
    </font>
    <font>
      <b/>
      <sz val="16"/>
      <name val="Times New Roman"/>
      <family val="1"/>
    </font>
    <font>
      <sz val="12"/>
      <name val="Times New Roman"/>
      <family val="1"/>
    </font>
    <font>
      <sz val="11"/>
      <name val="Times New Roman"/>
      <family val="1"/>
    </font>
    <font>
      <b/>
      <sz val="11"/>
      <name val="Times New Roman"/>
      <family val="1"/>
    </font>
    <font>
      <sz val="11"/>
      <name val="Arial"/>
      <family val="0"/>
    </font>
    <font>
      <b/>
      <sz val="12"/>
      <color indexed="10"/>
      <name val="Arial"/>
      <family val="2"/>
    </font>
    <font>
      <b/>
      <sz val="11"/>
      <name val="Arial"/>
      <family val="2"/>
    </font>
    <font>
      <b/>
      <sz val="10"/>
      <color indexed="8"/>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style="thin"/>
    </border>
    <border>
      <left style="medium"/>
      <right>
        <color indexed="63"/>
      </right>
      <top style="medium"/>
      <bottom style="medium"/>
    </border>
    <border>
      <left style="medium"/>
      <right style="medium"/>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style="medium"/>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color indexed="63"/>
      </right>
      <top style="thin"/>
      <bottom style="medium"/>
    </border>
    <border>
      <left style="medium"/>
      <right style="medium"/>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5">
    <xf numFmtId="0" fontId="0" fillId="0" borderId="0" xfId="0" applyAlignment="1">
      <alignment/>
    </xf>
    <xf numFmtId="0" fontId="0" fillId="0" borderId="0" xfId="0" applyAlignment="1">
      <alignment/>
    </xf>
    <xf numFmtId="0" fontId="3" fillId="0" borderId="0" xfId="0" applyFont="1" applyAlignment="1">
      <alignment/>
    </xf>
    <xf numFmtId="0" fontId="0" fillId="0" borderId="0" xfId="0" applyFont="1" applyAlignment="1">
      <alignment horizontal="left" indent="4"/>
    </xf>
    <xf numFmtId="0" fontId="4" fillId="0" borderId="10" xfId="0" applyFont="1" applyBorder="1" applyAlignment="1">
      <alignment horizontal="center" wrapText="1"/>
    </xf>
    <xf numFmtId="0" fontId="4" fillId="0" borderId="11" xfId="0" applyFont="1" applyBorder="1" applyAlignment="1">
      <alignment/>
    </xf>
    <xf numFmtId="0" fontId="4" fillId="0" borderId="12" xfId="0" applyFont="1" applyBorder="1" applyAlignment="1">
      <alignment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4" fillId="0" borderId="16" xfId="0" applyFont="1" applyBorder="1" applyAlignment="1">
      <alignment wrapText="1"/>
    </xf>
    <xf numFmtId="0" fontId="0" fillId="0" borderId="17" xfId="0" applyFont="1" applyBorder="1" applyAlignment="1">
      <alignment horizontal="right" wrapText="1" indent="1"/>
    </xf>
    <xf numFmtId="0" fontId="5" fillId="0" borderId="18" xfId="0" applyFont="1" applyBorder="1" applyAlignment="1">
      <alignment horizontal="right" wrapText="1" indent="1"/>
    </xf>
    <xf numFmtId="0" fontId="6" fillId="0" borderId="19" xfId="0" applyFont="1" applyBorder="1" applyAlignment="1">
      <alignment horizontal="right" wrapText="1" indent="1"/>
    </xf>
    <xf numFmtId="0" fontId="6" fillId="0" borderId="17" xfId="0" applyFont="1" applyBorder="1" applyAlignment="1">
      <alignment horizontal="right" wrapText="1" indent="1"/>
    </xf>
    <xf numFmtId="0" fontId="6" fillId="0" borderId="18" xfId="0" applyFont="1" applyBorder="1" applyAlignment="1">
      <alignment horizontal="right" wrapText="1" indent="1"/>
    </xf>
    <xf numFmtId="0" fontId="7" fillId="0" borderId="16" xfId="0" applyFont="1" applyBorder="1" applyAlignment="1">
      <alignment wrapText="1"/>
    </xf>
    <xf numFmtId="0" fontId="8" fillId="0" borderId="16" xfId="0" applyFont="1" applyBorder="1" applyAlignment="1">
      <alignment wrapText="1"/>
    </xf>
    <xf numFmtId="0" fontId="9" fillId="0" borderId="16" xfId="0" applyFont="1" applyBorder="1" applyAlignment="1">
      <alignment wrapText="1"/>
    </xf>
    <xf numFmtId="0" fontId="0" fillId="0" borderId="18" xfId="0" applyFont="1" applyBorder="1" applyAlignment="1">
      <alignment horizontal="right" wrapText="1" indent="1"/>
    </xf>
    <xf numFmtId="0" fontId="5" fillId="0" borderId="17" xfId="0" applyFont="1" applyBorder="1" applyAlignment="1">
      <alignment horizontal="right" wrapText="1" indent="1"/>
    </xf>
    <xf numFmtId="0" fontId="10" fillId="0" borderId="15" xfId="0" applyFont="1" applyBorder="1" applyAlignment="1">
      <alignment horizontal="center" wrapText="1"/>
    </xf>
    <xf numFmtId="0" fontId="11" fillId="0" borderId="16" xfId="0" applyFont="1" applyBorder="1" applyAlignment="1">
      <alignment wrapText="1"/>
    </xf>
    <xf numFmtId="0" fontId="11" fillId="0" borderId="19" xfId="0" applyFont="1" applyBorder="1" applyAlignment="1">
      <alignment horizontal="right" wrapText="1" indent="1"/>
    </xf>
    <xf numFmtId="0" fontId="11" fillId="0" borderId="17" xfId="0" applyFont="1" applyBorder="1" applyAlignment="1">
      <alignment horizontal="right" wrapText="1" indent="1"/>
    </xf>
    <xf numFmtId="0" fontId="6" fillId="0" borderId="16" xfId="0" applyFont="1" applyBorder="1" applyAlignment="1">
      <alignment wrapText="1"/>
    </xf>
    <xf numFmtId="0" fontId="12" fillId="0" borderId="16" xfId="0" applyFont="1" applyBorder="1" applyAlignment="1">
      <alignment wrapText="1"/>
    </xf>
    <xf numFmtId="0" fontId="6" fillId="0" borderId="16" xfId="0" applyFont="1" applyBorder="1" applyAlignment="1">
      <alignment horizontal="right" wrapText="1"/>
    </xf>
    <xf numFmtId="0" fontId="4" fillId="0" borderId="20" xfId="0" applyFont="1" applyBorder="1" applyAlignment="1">
      <alignment horizontal="center" wrapText="1"/>
    </xf>
    <xf numFmtId="0" fontId="4" fillId="0" borderId="21" xfId="0" applyFont="1" applyBorder="1" applyAlignment="1">
      <alignment wrapText="1"/>
    </xf>
    <xf numFmtId="0" fontId="5" fillId="0" borderId="22" xfId="0" applyFont="1" applyBorder="1" applyAlignment="1">
      <alignment horizontal="right" wrapText="1" indent="1"/>
    </xf>
    <xf numFmtId="0" fontId="15" fillId="0" borderId="0" xfId="0" applyFont="1" applyAlignment="1">
      <alignment/>
    </xf>
    <xf numFmtId="0" fontId="17" fillId="0" borderId="0" xfId="0" applyFont="1" applyAlignment="1">
      <alignment/>
    </xf>
    <xf numFmtId="0" fontId="16" fillId="0" borderId="0" xfId="0" applyFont="1" applyAlignment="1">
      <alignment/>
    </xf>
    <xf numFmtId="0" fontId="11" fillId="0" borderId="18" xfId="0" applyFont="1" applyBorder="1" applyAlignment="1">
      <alignment horizontal="right" wrapText="1" indent="1"/>
    </xf>
    <xf numFmtId="0" fontId="0" fillId="0" borderId="0" xfId="0" applyAlignment="1">
      <alignment horizontal="right" indent="1"/>
    </xf>
    <xf numFmtId="0" fontId="14" fillId="0" borderId="0" xfId="0" applyFont="1" applyBorder="1" applyAlignment="1">
      <alignment horizontal="center" wrapText="1"/>
    </xf>
    <xf numFmtId="0" fontId="0" fillId="0" borderId="0" xfId="0" applyAlignment="1">
      <alignment horizontal="center" wrapText="1"/>
    </xf>
    <xf numFmtId="0" fontId="4" fillId="0" borderId="23" xfId="0" applyFont="1" applyBorder="1" applyAlignment="1">
      <alignment horizontal="center" wrapText="1"/>
    </xf>
    <xf numFmtId="0" fontId="0" fillId="0" borderId="24" xfId="0" applyFont="1" applyBorder="1" applyAlignment="1">
      <alignment horizontal="right" wrapText="1" indent="1"/>
    </xf>
    <xf numFmtId="0" fontId="6" fillId="0" borderId="24" xfId="0" applyFont="1" applyBorder="1" applyAlignment="1">
      <alignment horizontal="right" wrapText="1" indent="1"/>
    </xf>
    <xf numFmtId="0" fontId="5" fillId="0" borderId="24" xfId="0" applyFont="1" applyBorder="1" applyAlignment="1">
      <alignment horizontal="right" wrapText="1" indent="1"/>
    </xf>
    <xf numFmtId="0" fontId="11" fillId="0" borderId="24" xfId="0" applyFont="1" applyBorder="1" applyAlignment="1">
      <alignment horizontal="right" wrapText="1" indent="1"/>
    </xf>
    <xf numFmtId="0" fontId="5" fillId="0" borderId="25" xfId="0" applyFont="1" applyBorder="1" applyAlignment="1">
      <alignment horizontal="right" wrapText="1" indent="1"/>
    </xf>
    <xf numFmtId="0" fontId="22" fillId="0" borderId="0" xfId="0" applyFont="1" applyAlignment="1">
      <alignment/>
    </xf>
    <xf numFmtId="0" fontId="2" fillId="0" borderId="0" xfId="0" applyFont="1" applyAlignment="1">
      <alignment/>
    </xf>
    <xf numFmtId="0" fontId="23" fillId="0" borderId="16" xfId="0" applyFont="1" applyBorder="1" applyAlignment="1">
      <alignment wrapText="1"/>
    </xf>
    <xf numFmtId="0" fontId="23" fillId="0" borderId="24" xfId="0" applyFont="1" applyBorder="1" applyAlignment="1">
      <alignment horizontal="right" wrapText="1" indent="1"/>
    </xf>
    <xf numFmtId="0" fontId="23" fillId="0" borderId="17" xfId="0" applyFont="1" applyBorder="1" applyAlignment="1">
      <alignment horizontal="right" wrapText="1" indent="1"/>
    </xf>
    <xf numFmtId="0" fontId="23" fillId="0" borderId="18" xfId="0" applyFont="1" applyBorder="1" applyAlignment="1">
      <alignment horizontal="right" wrapText="1" indent="1"/>
    </xf>
    <xf numFmtId="0" fontId="0" fillId="0" borderId="15" xfId="0" applyFont="1" applyBorder="1" applyAlignment="1">
      <alignment horizontal="right" wrapText="1" indent="1"/>
    </xf>
    <xf numFmtId="0" fontId="5" fillId="0" borderId="15" xfId="0" applyFont="1" applyBorder="1" applyAlignment="1">
      <alignment horizontal="right" wrapText="1" indent="1"/>
    </xf>
    <xf numFmtId="0" fontId="5" fillId="0" borderId="20" xfId="0" applyFont="1" applyBorder="1" applyAlignment="1">
      <alignment horizontal="right" wrapText="1" indent="1"/>
    </xf>
    <xf numFmtId="0" fontId="5" fillId="0" borderId="26" xfId="0" applyFont="1" applyBorder="1" applyAlignment="1">
      <alignment horizontal="right" wrapText="1" indent="1"/>
    </xf>
    <xf numFmtId="0" fontId="5" fillId="0" borderId="15" xfId="0" applyFont="1" applyBorder="1" applyAlignment="1">
      <alignment horizontal="center" wrapText="1"/>
    </xf>
    <xf numFmtId="0" fontId="24" fillId="0" borderId="16" xfId="0" applyFont="1" applyBorder="1" applyAlignment="1">
      <alignment wrapText="1"/>
    </xf>
    <xf numFmtId="0" fontId="0" fillId="0" borderId="0" xfId="0" applyFont="1" applyAlignment="1">
      <alignment/>
    </xf>
    <xf numFmtId="0" fontId="5" fillId="0" borderId="16" xfId="0" applyFont="1" applyBorder="1" applyAlignment="1">
      <alignment wrapText="1"/>
    </xf>
    <xf numFmtId="0" fontId="16" fillId="0" borderId="0" xfId="0" applyFont="1" applyAlignment="1">
      <alignment wrapText="1"/>
    </xf>
    <xf numFmtId="0" fontId="0" fillId="0" borderId="0" xfId="0" applyAlignment="1">
      <alignment wrapText="1"/>
    </xf>
    <xf numFmtId="0" fontId="2" fillId="0" borderId="0" xfId="0" applyFont="1" applyAlignment="1">
      <alignment/>
    </xf>
    <xf numFmtId="0" fontId="0" fillId="0" borderId="0" xfId="0" applyAlignment="1">
      <alignment/>
    </xf>
    <xf numFmtId="0" fontId="16" fillId="0" borderId="0" xfId="0" applyFont="1" applyBorder="1" applyAlignment="1">
      <alignment horizontal="left" wrapText="1"/>
    </xf>
    <xf numFmtId="0" fontId="3" fillId="0" borderId="0" xfId="0" applyFont="1" applyAlignment="1">
      <alignment horizontal="left" wrapText="1"/>
    </xf>
    <xf numFmtId="168" fontId="5" fillId="0" borderId="11" xfId="0" applyNumberFormat="1" applyFont="1" applyBorder="1" applyAlignment="1">
      <alignment horizontal="center"/>
    </xf>
    <xf numFmtId="168" fontId="5" fillId="0" borderId="27" xfId="0" applyNumberFormat="1" applyFont="1" applyBorder="1" applyAlignment="1">
      <alignment horizontal="center"/>
    </xf>
    <xf numFmtId="168" fontId="5" fillId="0" borderId="28" xfId="0" applyNumberFormat="1" applyFont="1" applyBorder="1" applyAlignment="1">
      <alignment horizontal="center"/>
    </xf>
    <xf numFmtId="0" fontId="19" fillId="0" borderId="0" xfId="0" applyFont="1" applyBorder="1" applyAlignment="1">
      <alignment horizontal="left" wrapText="1"/>
    </xf>
    <xf numFmtId="0" fontId="21" fillId="0" borderId="0" xfId="0" applyFont="1" applyAlignment="1">
      <alignment horizontal="left" wrapText="1"/>
    </xf>
    <xf numFmtId="0" fontId="19" fillId="0" borderId="29" xfId="0" applyFont="1" applyBorder="1" applyAlignment="1">
      <alignment horizontal="right" wrapText="1"/>
    </xf>
    <xf numFmtId="0" fontId="21" fillId="0" borderId="29" xfId="0" applyFont="1" applyBorder="1" applyAlignment="1">
      <alignment horizontal="right" wrapText="1"/>
    </xf>
    <xf numFmtId="0" fontId="5" fillId="0" borderId="11"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17" fontId="5" fillId="0" borderId="11"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0</xdr:row>
      <xdr:rowOff>0</xdr:rowOff>
    </xdr:from>
    <xdr:to>
      <xdr:col>4</xdr:col>
      <xdr:colOff>571500</xdr:colOff>
      <xdr:row>4</xdr:row>
      <xdr:rowOff>152400</xdr:rowOff>
    </xdr:to>
    <xdr:pic>
      <xdr:nvPicPr>
        <xdr:cNvPr id="1" name="Picture 1" descr="Maddie"/>
        <xdr:cNvPicPr preferRelativeResize="1">
          <a:picLocks noChangeAspect="1"/>
        </xdr:cNvPicPr>
      </xdr:nvPicPr>
      <xdr:blipFill>
        <a:blip r:embed="rId1"/>
        <a:stretch>
          <a:fillRect/>
        </a:stretch>
      </xdr:blipFill>
      <xdr:spPr>
        <a:xfrm>
          <a:off x="5657850" y="0"/>
          <a:ext cx="942975" cy="9810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0</xdr:row>
      <xdr:rowOff>0</xdr:rowOff>
    </xdr:from>
    <xdr:to>
      <xdr:col>4</xdr:col>
      <xdr:colOff>581025</xdr:colOff>
      <xdr:row>4</xdr:row>
      <xdr:rowOff>152400</xdr:rowOff>
    </xdr:to>
    <xdr:pic>
      <xdr:nvPicPr>
        <xdr:cNvPr id="1" name="Picture 1" descr="Maddie"/>
        <xdr:cNvPicPr preferRelativeResize="1">
          <a:picLocks noChangeAspect="1"/>
        </xdr:cNvPicPr>
      </xdr:nvPicPr>
      <xdr:blipFill>
        <a:blip r:embed="rId1"/>
        <a:stretch>
          <a:fillRect/>
        </a:stretch>
      </xdr:blipFill>
      <xdr:spPr>
        <a:xfrm>
          <a:off x="5667375" y="0"/>
          <a:ext cx="942975" cy="9810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0</xdr:row>
      <xdr:rowOff>0</xdr:rowOff>
    </xdr:from>
    <xdr:to>
      <xdr:col>5</xdr:col>
      <xdr:colOff>0</xdr:colOff>
      <xdr:row>4</xdr:row>
      <xdr:rowOff>152400</xdr:rowOff>
    </xdr:to>
    <xdr:pic>
      <xdr:nvPicPr>
        <xdr:cNvPr id="1" name="Picture 1" descr="Maddie"/>
        <xdr:cNvPicPr preferRelativeResize="1">
          <a:picLocks noChangeAspect="1"/>
        </xdr:cNvPicPr>
      </xdr:nvPicPr>
      <xdr:blipFill>
        <a:blip r:embed="rId1"/>
        <a:stretch>
          <a:fillRect/>
        </a:stretch>
      </xdr:blipFill>
      <xdr:spPr>
        <a:xfrm>
          <a:off x="5676900" y="0"/>
          <a:ext cx="942975" cy="9810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0</xdr:row>
      <xdr:rowOff>0</xdr:rowOff>
    </xdr:from>
    <xdr:to>
      <xdr:col>5</xdr:col>
      <xdr:colOff>0</xdr:colOff>
      <xdr:row>4</xdr:row>
      <xdr:rowOff>152400</xdr:rowOff>
    </xdr:to>
    <xdr:pic>
      <xdr:nvPicPr>
        <xdr:cNvPr id="1" name="Picture 1" descr="Maddie"/>
        <xdr:cNvPicPr preferRelativeResize="1">
          <a:picLocks noChangeAspect="1"/>
        </xdr:cNvPicPr>
      </xdr:nvPicPr>
      <xdr:blipFill>
        <a:blip r:embed="rId1"/>
        <a:stretch>
          <a:fillRect/>
        </a:stretch>
      </xdr:blipFill>
      <xdr:spPr>
        <a:xfrm>
          <a:off x="5676900" y="0"/>
          <a:ext cx="942975" cy="9810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0</xdr:row>
      <xdr:rowOff>0</xdr:rowOff>
    </xdr:from>
    <xdr:to>
      <xdr:col>5</xdr:col>
      <xdr:colOff>0</xdr:colOff>
      <xdr:row>4</xdr:row>
      <xdr:rowOff>152400</xdr:rowOff>
    </xdr:to>
    <xdr:pic>
      <xdr:nvPicPr>
        <xdr:cNvPr id="1" name="Picture 1" descr="Maddie"/>
        <xdr:cNvPicPr preferRelativeResize="1">
          <a:picLocks noChangeAspect="1"/>
        </xdr:cNvPicPr>
      </xdr:nvPicPr>
      <xdr:blipFill>
        <a:blip r:embed="rId1"/>
        <a:stretch>
          <a:fillRect/>
        </a:stretch>
      </xdr:blipFill>
      <xdr:spPr>
        <a:xfrm>
          <a:off x="5676900" y="0"/>
          <a:ext cx="942975" cy="9810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0</xdr:row>
      <xdr:rowOff>0</xdr:rowOff>
    </xdr:from>
    <xdr:to>
      <xdr:col>4</xdr:col>
      <xdr:colOff>571500</xdr:colOff>
      <xdr:row>4</xdr:row>
      <xdr:rowOff>152400</xdr:rowOff>
    </xdr:to>
    <xdr:pic>
      <xdr:nvPicPr>
        <xdr:cNvPr id="1" name="Picture 1" descr="Maddie"/>
        <xdr:cNvPicPr preferRelativeResize="1">
          <a:picLocks noChangeAspect="1"/>
        </xdr:cNvPicPr>
      </xdr:nvPicPr>
      <xdr:blipFill>
        <a:blip r:embed="rId1"/>
        <a:stretch>
          <a:fillRect/>
        </a:stretch>
      </xdr:blipFill>
      <xdr:spPr>
        <a:xfrm>
          <a:off x="5657850" y="0"/>
          <a:ext cx="942975" cy="9810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0</xdr:row>
      <xdr:rowOff>0</xdr:rowOff>
    </xdr:from>
    <xdr:to>
      <xdr:col>4</xdr:col>
      <xdr:colOff>571500</xdr:colOff>
      <xdr:row>4</xdr:row>
      <xdr:rowOff>152400</xdr:rowOff>
    </xdr:to>
    <xdr:pic>
      <xdr:nvPicPr>
        <xdr:cNvPr id="1" name="Picture 1" descr="Maddie"/>
        <xdr:cNvPicPr preferRelativeResize="1">
          <a:picLocks noChangeAspect="1"/>
        </xdr:cNvPicPr>
      </xdr:nvPicPr>
      <xdr:blipFill>
        <a:blip r:embed="rId1"/>
        <a:stretch>
          <a:fillRect/>
        </a:stretch>
      </xdr:blipFill>
      <xdr:spPr>
        <a:xfrm>
          <a:off x="5657850" y="0"/>
          <a:ext cx="942975" cy="9810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0</xdr:row>
      <xdr:rowOff>0</xdr:rowOff>
    </xdr:from>
    <xdr:to>
      <xdr:col>5</xdr:col>
      <xdr:colOff>0</xdr:colOff>
      <xdr:row>4</xdr:row>
      <xdr:rowOff>152400</xdr:rowOff>
    </xdr:to>
    <xdr:pic>
      <xdr:nvPicPr>
        <xdr:cNvPr id="1" name="Picture 1" descr="Maddie"/>
        <xdr:cNvPicPr preferRelativeResize="1">
          <a:picLocks noChangeAspect="1"/>
        </xdr:cNvPicPr>
      </xdr:nvPicPr>
      <xdr:blipFill>
        <a:blip r:embed="rId1"/>
        <a:stretch>
          <a:fillRect/>
        </a:stretch>
      </xdr:blipFill>
      <xdr:spPr>
        <a:xfrm>
          <a:off x="5676900" y="0"/>
          <a:ext cx="942975" cy="9810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0</xdr:row>
      <xdr:rowOff>0</xdr:rowOff>
    </xdr:from>
    <xdr:to>
      <xdr:col>4</xdr:col>
      <xdr:colOff>581025</xdr:colOff>
      <xdr:row>4</xdr:row>
      <xdr:rowOff>152400</xdr:rowOff>
    </xdr:to>
    <xdr:pic>
      <xdr:nvPicPr>
        <xdr:cNvPr id="1" name="Picture 1" descr="Maddie"/>
        <xdr:cNvPicPr preferRelativeResize="1">
          <a:picLocks noChangeAspect="1"/>
        </xdr:cNvPicPr>
      </xdr:nvPicPr>
      <xdr:blipFill>
        <a:blip r:embed="rId1"/>
        <a:stretch>
          <a:fillRect/>
        </a:stretch>
      </xdr:blipFill>
      <xdr:spPr>
        <a:xfrm>
          <a:off x="5667375" y="0"/>
          <a:ext cx="942975" cy="9810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0</xdr:row>
      <xdr:rowOff>0</xdr:rowOff>
    </xdr:from>
    <xdr:to>
      <xdr:col>4</xdr:col>
      <xdr:colOff>581025</xdr:colOff>
      <xdr:row>4</xdr:row>
      <xdr:rowOff>152400</xdr:rowOff>
    </xdr:to>
    <xdr:pic>
      <xdr:nvPicPr>
        <xdr:cNvPr id="1" name="Picture 1" descr="Maddie"/>
        <xdr:cNvPicPr preferRelativeResize="1">
          <a:picLocks noChangeAspect="1"/>
        </xdr:cNvPicPr>
      </xdr:nvPicPr>
      <xdr:blipFill>
        <a:blip r:embed="rId1"/>
        <a:stretch>
          <a:fillRect/>
        </a:stretch>
      </xdr:blipFill>
      <xdr:spPr>
        <a:xfrm>
          <a:off x="5667375" y="0"/>
          <a:ext cx="942975" cy="9810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0</xdr:row>
      <xdr:rowOff>0</xdr:rowOff>
    </xdr:from>
    <xdr:to>
      <xdr:col>4</xdr:col>
      <xdr:colOff>581025</xdr:colOff>
      <xdr:row>4</xdr:row>
      <xdr:rowOff>152400</xdr:rowOff>
    </xdr:to>
    <xdr:pic>
      <xdr:nvPicPr>
        <xdr:cNvPr id="1" name="Picture 1" descr="Maddie"/>
        <xdr:cNvPicPr preferRelativeResize="1">
          <a:picLocks noChangeAspect="1"/>
        </xdr:cNvPicPr>
      </xdr:nvPicPr>
      <xdr:blipFill>
        <a:blip r:embed="rId1"/>
        <a:stretch>
          <a:fillRect/>
        </a:stretch>
      </xdr:blipFill>
      <xdr:spPr>
        <a:xfrm>
          <a:off x="5667375" y="0"/>
          <a:ext cx="94297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0</xdr:row>
      <xdr:rowOff>0</xdr:rowOff>
    </xdr:from>
    <xdr:to>
      <xdr:col>5</xdr:col>
      <xdr:colOff>0</xdr:colOff>
      <xdr:row>4</xdr:row>
      <xdr:rowOff>152400</xdr:rowOff>
    </xdr:to>
    <xdr:pic>
      <xdr:nvPicPr>
        <xdr:cNvPr id="1" name="Picture 1" descr="Maddie"/>
        <xdr:cNvPicPr preferRelativeResize="1">
          <a:picLocks noChangeAspect="1"/>
        </xdr:cNvPicPr>
      </xdr:nvPicPr>
      <xdr:blipFill>
        <a:blip r:embed="rId1"/>
        <a:stretch>
          <a:fillRect/>
        </a:stretch>
      </xdr:blipFill>
      <xdr:spPr>
        <a:xfrm>
          <a:off x="5676900" y="0"/>
          <a:ext cx="942975" cy="981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0</xdr:row>
      <xdr:rowOff>0</xdr:rowOff>
    </xdr:from>
    <xdr:to>
      <xdr:col>4</xdr:col>
      <xdr:colOff>571500</xdr:colOff>
      <xdr:row>4</xdr:row>
      <xdr:rowOff>152400</xdr:rowOff>
    </xdr:to>
    <xdr:pic>
      <xdr:nvPicPr>
        <xdr:cNvPr id="1" name="Picture 1" descr="Maddie"/>
        <xdr:cNvPicPr preferRelativeResize="1">
          <a:picLocks noChangeAspect="1"/>
        </xdr:cNvPicPr>
      </xdr:nvPicPr>
      <xdr:blipFill>
        <a:blip r:embed="rId1"/>
        <a:stretch>
          <a:fillRect/>
        </a:stretch>
      </xdr:blipFill>
      <xdr:spPr>
        <a:xfrm>
          <a:off x="5657850" y="0"/>
          <a:ext cx="942975" cy="981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0</xdr:row>
      <xdr:rowOff>0</xdr:rowOff>
    </xdr:from>
    <xdr:to>
      <xdr:col>5</xdr:col>
      <xdr:colOff>0</xdr:colOff>
      <xdr:row>4</xdr:row>
      <xdr:rowOff>152400</xdr:rowOff>
    </xdr:to>
    <xdr:pic>
      <xdr:nvPicPr>
        <xdr:cNvPr id="1" name="Picture 1" descr="Maddie"/>
        <xdr:cNvPicPr preferRelativeResize="1">
          <a:picLocks noChangeAspect="1"/>
        </xdr:cNvPicPr>
      </xdr:nvPicPr>
      <xdr:blipFill>
        <a:blip r:embed="rId1"/>
        <a:stretch>
          <a:fillRect/>
        </a:stretch>
      </xdr:blipFill>
      <xdr:spPr>
        <a:xfrm>
          <a:off x="5676900" y="0"/>
          <a:ext cx="942975" cy="981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0</xdr:row>
      <xdr:rowOff>0</xdr:rowOff>
    </xdr:from>
    <xdr:to>
      <xdr:col>5</xdr:col>
      <xdr:colOff>0</xdr:colOff>
      <xdr:row>4</xdr:row>
      <xdr:rowOff>152400</xdr:rowOff>
    </xdr:to>
    <xdr:pic>
      <xdr:nvPicPr>
        <xdr:cNvPr id="1" name="Picture 1" descr="Maddie"/>
        <xdr:cNvPicPr preferRelativeResize="1">
          <a:picLocks noChangeAspect="1"/>
        </xdr:cNvPicPr>
      </xdr:nvPicPr>
      <xdr:blipFill>
        <a:blip r:embed="rId1"/>
        <a:stretch>
          <a:fillRect/>
        </a:stretch>
      </xdr:blipFill>
      <xdr:spPr>
        <a:xfrm>
          <a:off x="5695950" y="0"/>
          <a:ext cx="923925" cy="981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0</xdr:row>
      <xdr:rowOff>0</xdr:rowOff>
    </xdr:from>
    <xdr:to>
      <xdr:col>5</xdr:col>
      <xdr:colOff>0</xdr:colOff>
      <xdr:row>4</xdr:row>
      <xdr:rowOff>152400</xdr:rowOff>
    </xdr:to>
    <xdr:pic>
      <xdr:nvPicPr>
        <xdr:cNvPr id="1" name="Picture 1" descr="Maddie"/>
        <xdr:cNvPicPr preferRelativeResize="1">
          <a:picLocks noChangeAspect="1"/>
        </xdr:cNvPicPr>
      </xdr:nvPicPr>
      <xdr:blipFill>
        <a:blip r:embed="rId1"/>
        <a:stretch>
          <a:fillRect/>
        </a:stretch>
      </xdr:blipFill>
      <xdr:spPr>
        <a:xfrm>
          <a:off x="5686425" y="0"/>
          <a:ext cx="933450" cy="981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0</xdr:row>
      <xdr:rowOff>0</xdr:rowOff>
    </xdr:from>
    <xdr:to>
      <xdr:col>5</xdr:col>
      <xdr:colOff>0</xdr:colOff>
      <xdr:row>4</xdr:row>
      <xdr:rowOff>152400</xdr:rowOff>
    </xdr:to>
    <xdr:pic>
      <xdr:nvPicPr>
        <xdr:cNvPr id="1" name="Picture 1" descr="Maddie"/>
        <xdr:cNvPicPr preferRelativeResize="1">
          <a:picLocks noChangeAspect="1"/>
        </xdr:cNvPicPr>
      </xdr:nvPicPr>
      <xdr:blipFill>
        <a:blip r:embed="rId1"/>
        <a:stretch>
          <a:fillRect/>
        </a:stretch>
      </xdr:blipFill>
      <xdr:spPr>
        <a:xfrm>
          <a:off x="5676900" y="0"/>
          <a:ext cx="942975" cy="981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0</xdr:row>
      <xdr:rowOff>0</xdr:rowOff>
    </xdr:from>
    <xdr:to>
      <xdr:col>4</xdr:col>
      <xdr:colOff>581025</xdr:colOff>
      <xdr:row>4</xdr:row>
      <xdr:rowOff>152400</xdr:rowOff>
    </xdr:to>
    <xdr:pic>
      <xdr:nvPicPr>
        <xdr:cNvPr id="1" name="Picture 1" descr="Maddie"/>
        <xdr:cNvPicPr preferRelativeResize="1">
          <a:picLocks noChangeAspect="1"/>
        </xdr:cNvPicPr>
      </xdr:nvPicPr>
      <xdr:blipFill>
        <a:blip r:embed="rId1"/>
        <a:stretch>
          <a:fillRect/>
        </a:stretch>
      </xdr:blipFill>
      <xdr:spPr>
        <a:xfrm>
          <a:off x="5667375" y="0"/>
          <a:ext cx="942975" cy="981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0</xdr:row>
      <xdr:rowOff>0</xdr:rowOff>
    </xdr:from>
    <xdr:to>
      <xdr:col>5</xdr:col>
      <xdr:colOff>0</xdr:colOff>
      <xdr:row>4</xdr:row>
      <xdr:rowOff>152400</xdr:rowOff>
    </xdr:to>
    <xdr:pic>
      <xdr:nvPicPr>
        <xdr:cNvPr id="1" name="Picture 1" descr="Maddie"/>
        <xdr:cNvPicPr preferRelativeResize="1">
          <a:picLocks noChangeAspect="1"/>
        </xdr:cNvPicPr>
      </xdr:nvPicPr>
      <xdr:blipFill>
        <a:blip r:embed="rId1"/>
        <a:stretch>
          <a:fillRect/>
        </a:stretch>
      </xdr:blipFill>
      <xdr:spPr>
        <a:xfrm>
          <a:off x="5762625" y="0"/>
          <a:ext cx="9239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1">
      <selection activeCell="C19" sqref="C19"/>
    </sheetView>
  </sheetViews>
  <sheetFormatPr defaultColWidth="8.8515625" defaultRowHeight="12.75"/>
  <cols>
    <col min="1" max="1" width="2.8515625" style="0" customWidth="1"/>
    <col min="2" max="2" width="69.8515625" style="0" customWidth="1"/>
  </cols>
  <sheetData>
    <row r="1" spans="1:5" ht="18">
      <c r="A1" s="60" t="s">
        <v>71</v>
      </c>
      <c r="B1" s="61"/>
      <c r="C1" s="61"/>
      <c r="D1" s="61"/>
      <c r="E1" s="61"/>
    </row>
    <row r="2" ht="15.75">
      <c r="A2" s="2" t="s">
        <v>0</v>
      </c>
    </row>
    <row r="3" ht="15.75">
      <c r="A3" s="2" t="s">
        <v>1</v>
      </c>
    </row>
    <row r="4" ht="15.75">
      <c r="A4" s="44" t="s">
        <v>103</v>
      </c>
    </row>
    <row r="5" ht="13.5" thickBot="1">
      <c r="A5" s="3"/>
    </row>
    <row r="6" spans="1:5" ht="13.5" thickBot="1">
      <c r="A6" s="4"/>
      <c r="B6" s="5" t="s">
        <v>104</v>
      </c>
      <c r="C6" s="64" t="s">
        <v>72</v>
      </c>
      <c r="D6" s="65"/>
      <c r="E6" s="66"/>
    </row>
    <row r="7" spans="1:5" ht="12.75">
      <c r="A7" s="4"/>
      <c r="B7" s="6"/>
      <c r="C7" s="38" t="s">
        <v>2</v>
      </c>
      <c r="D7" s="7" t="s">
        <v>3</v>
      </c>
      <c r="E7" s="8" t="s">
        <v>4</v>
      </c>
    </row>
    <row r="8" spans="1:5" ht="12.75">
      <c r="A8" s="9" t="s">
        <v>5</v>
      </c>
      <c r="B8" s="10" t="s">
        <v>6</v>
      </c>
      <c r="C8" s="39">
        <f>23+153+194</f>
        <v>370</v>
      </c>
      <c r="D8" s="11">
        <f>5+105+660</f>
        <v>770</v>
      </c>
      <c r="E8" s="12">
        <f>SUM(C8:D8)</f>
        <v>1140</v>
      </c>
    </row>
    <row r="9" spans="1:5" ht="12.75">
      <c r="A9" s="9"/>
      <c r="B9" s="10"/>
      <c r="C9" s="40"/>
      <c r="D9" s="14"/>
      <c r="E9" s="12"/>
    </row>
    <row r="10" spans="1:5" ht="12.75">
      <c r="A10" s="9"/>
      <c r="B10" s="10" t="s">
        <v>7</v>
      </c>
      <c r="C10" s="40"/>
      <c r="D10" s="14"/>
      <c r="E10" s="15"/>
    </row>
    <row r="11" spans="1:5" ht="12.75">
      <c r="A11" s="9"/>
      <c r="B11" s="16" t="s">
        <v>8</v>
      </c>
      <c r="C11" s="40"/>
      <c r="D11" s="14"/>
      <c r="E11" s="15"/>
    </row>
    <row r="12" spans="1:5" ht="12.75">
      <c r="A12" s="9"/>
      <c r="B12" s="17" t="s">
        <v>9</v>
      </c>
      <c r="C12" s="40">
        <f>684+60+25</f>
        <v>769</v>
      </c>
      <c r="D12" s="14">
        <f>251+8+21+1</f>
        <v>281</v>
      </c>
      <c r="E12" s="15">
        <f>SUM(C12:D12)</f>
        <v>1050</v>
      </c>
    </row>
    <row r="13" spans="1:5" ht="12.75">
      <c r="A13" s="9"/>
      <c r="B13" s="17" t="s">
        <v>10</v>
      </c>
      <c r="C13" s="40">
        <f>102+2+11</f>
        <v>115</v>
      </c>
      <c r="D13" s="14">
        <v>125</v>
      </c>
      <c r="E13" s="15">
        <f>SUM(C13:D13)</f>
        <v>240</v>
      </c>
    </row>
    <row r="14" spans="1:5" ht="12.75">
      <c r="A14" s="9"/>
      <c r="B14" s="17" t="s">
        <v>11</v>
      </c>
      <c r="C14" s="40">
        <f>190+1</f>
        <v>191</v>
      </c>
      <c r="D14" s="14">
        <v>125</v>
      </c>
      <c r="E14" s="15">
        <f>SUM(C14:D14)</f>
        <v>316</v>
      </c>
    </row>
    <row r="15" spans="1:5" ht="12.75">
      <c r="A15" s="9"/>
      <c r="B15" s="17" t="s">
        <v>12</v>
      </c>
      <c r="C15" s="40">
        <f>481+1</f>
        <v>482</v>
      </c>
      <c r="D15" s="14">
        <f>127+2</f>
        <v>129</v>
      </c>
      <c r="E15" s="15">
        <f>SUM(C15:D15)</f>
        <v>611</v>
      </c>
    </row>
    <row r="16" spans="1:5" ht="12.75">
      <c r="A16" s="9" t="s">
        <v>13</v>
      </c>
      <c r="B16" s="18" t="s">
        <v>14</v>
      </c>
      <c r="C16" s="50">
        <f>SUM(C12:C15)</f>
        <v>1557</v>
      </c>
      <c r="D16" s="11">
        <f>SUM(D12:D15)</f>
        <v>660</v>
      </c>
      <c r="E16" s="19">
        <f>SUM(C16:D16)</f>
        <v>2217</v>
      </c>
    </row>
    <row r="17" spans="1:5" ht="12.75">
      <c r="A17" s="9"/>
      <c r="B17" s="16" t="s">
        <v>15</v>
      </c>
      <c r="C17" s="40"/>
      <c r="D17" s="14"/>
      <c r="E17" s="15"/>
    </row>
    <row r="18" spans="1:5" ht="12.75">
      <c r="A18" s="9"/>
      <c r="B18" s="17" t="s">
        <v>9</v>
      </c>
      <c r="C18" s="40">
        <v>15</v>
      </c>
      <c r="D18" s="14">
        <v>1</v>
      </c>
      <c r="E18" s="15">
        <f>SUM(C18:D18)</f>
        <v>16</v>
      </c>
    </row>
    <row r="19" spans="1:5" ht="12.75">
      <c r="A19" s="9"/>
      <c r="B19" s="17" t="s">
        <v>10</v>
      </c>
      <c r="C19" s="40"/>
      <c r="D19" s="14"/>
      <c r="E19" s="15">
        <f>SUM(C19:D19)</f>
        <v>0</v>
      </c>
    </row>
    <row r="20" spans="1:5" ht="12.75">
      <c r="A20" s="9"/>
      <c r="B20" s="17" t="s">
        <v>11</v>
      </c>
      <c r="C20" s="40"/>
      <c r="D20" s="14"/>
      <c r="E20" s="15">
        <f>SUM(C20:D20)</f>
        <v>0</v>
      </c>
    </row>
    <row r="21" spans="1:5" ht="12.75">
      <c r="A21" s="9"/>
      <c r="B21" s="17" t="s">
        <v>12</v>
      </c>
      <c r="C21" s="40"/>
      <c r="D21" s="14"/>
      <c r="E21" s="15">
        <f>SUM(C21:D21)</f>
        <v>0</v>
      </c>
    </row>
    <row r="22" spans="1:5" ht="12.75">
      <c r="A22" s="9" t="s">
        <v>16</v>
      </c>
      <c r="B22" s="18" t="s">
        <v>95</v>
      </c>
      <c r="C22" s="50">
        <f>SUM(C17:C21)</f>
        <v>15</v>
      </c>
      <c r="D22" s="11">
        <f>SUM(D17:D21)</f>
        <v>1</v>
      </c>
      <c r="E22" s="19">
        <f>SUM(C22:D22)</f>
        <v>16</v>
      </c>
    </row>
    <row r="23" spans="1:5" ht="12.75">
      <c r="A23" s="9"/>
      <c r="B23" s="16" t="s">
        <v>18</v>
      </c>
      <c r="C23" s="40"/>
      <c r="D23" s="14"/>
      <c r="E23" s="15"/>
    </row>
    <row r="24" spans="1:5" ht="12.75">
      <c r="A24" s="9"/>
      <c r="B24" s="17" t="s">
        <v>9</v>
      </c>
      <c r="C24" s="40"/>
      <c r="D24" s="14"/>
      <c r="E24" s="15">
        <f>SUM(C24:D24)</f>
        <v>0</v>
      </c>
    </row>
    <row r="25" spans="1:5" ht="12.75">
      <c r="A25" s="9"/>
      <c r="B25" s="17" t="s">
        <v>10</v>
      </c>
      <c r="C25" s="40"/>
      <c r="D25" s="14"/>
      <c r="E25" s="15">
        <f>SUM(C25:D25)</f>
        <v>0</v>
      </c>
    </row>
    <row r="26" spans="1:5" ht="12.75">
      <c r="A26" s="9"/>
      <c r="B26" s="17" t="s">
        <v>11</v>
      </c>
      <c r="C26" s="40"/>
      <c r="D26" s="14"/>
      <c r="E26" s="15">
        <f>SUM(C26:D26)</f>
        <v>0</v>
      </c>
    </row>
    <row r="27" spans="1:5" ht="12.75">
      <c r="A27" s="9"/>
      <c r="B27" s="17" t="s">
        <v>12</v>
      </c>
      <c r="C27" s="40"/>
      <c r="D27" s="14"/>
      <c r="E27" s="15">
        <f>SUM(C27:D27)</f>
        <v>0</v>
      </c>
    </row>
    <row r="28" spans="1:5" ht="12.75">
      <c r="A28" s="9" t="s">
        <v>19</v>
      </c>
      <c r="B28" s="18" t="s">
        <v>96</v>
      </c>
      <c r="C28" s="39">
        <f>SUM(C24:C27)</f>
        <v>0</v>
      </c>
      <c r="D28" s="11">
        <f>SUM(D24:D27)</f>
        <v>0</v>
      </c>
      <c r="E28" s="19">
        <f>SUM(C28:D28)</f>
        <v>0</v>
      </c>
    </row>
    <row r="29" spans="1:5" ht="12.75">
      <c r="A29" s="9"/>
      <c r="B29" s="16" t="s">
        <v>21</v>
      </c>
      <c r="C29" s="40"/>
      <c r="D29" s="14"/>
      <c r="E29" s="15"/>
    </row>
    <row r="30" spans="1:5" ht="12.75">
      <c r="A30" s="9"/>
      <c r="B30" s="17" t="s">
        <v>9</v>
      </c>
      <c r="C30" s="40"/>
      <c r="D30" s="14"/>
      <c r="E30" s="15">
        <f aca="true" t="shared" si="0" ref="E30:E37">SUM(C30:D30)</f>
        <v>0</v>
      </c>
    </row>
    <row r="31" spans="1:5" ht="12.75">
      <c r="A31" s="9"/>
      <c r="B31" s="17" t="s">
        <v>10</v>
      </c>
      <c r="C31" s="40"/>
      <c r="D31" s="14"/>
      <c r="E31" s="15">
        <f t="shared" si="0"/>
        <v>0</v>
      </c>
    </row>
    <row r="32" spans="1:5" ht="12.75">
      <c r="A32" s="9"/>
      <c r="B32" s="17" t="s">
        <v>11</v>
      </c>
      <c r="C32" s="40"/>
      <c r="D32" s="14"/>
      <c r="E32" s="15">
        <f t="shared" si="0"/>
        <v>0</v>
      </c>
    </row>
    <row r="33" spans="1:5" ht="12.75">
      <c r="A33" s="9"/>
      <c r="B33" s="17" t="s">
        <v>12</v>
      </c>
      <c r="C33" s="40">
        <v>70</v>
      </c>
      <c r="D33" s="14">
        <v>10</v>
      </c>
      <c r="E33" s="15">
        <f t="shared" si="0"/>
        <v>80</v>
      </c>
    </row>
    <row r="34" spans="1:5" ht="12.75">
      <c r="A34" s="9" t="s">
        <v>22</v>
      </c>
      <c r="B34" s="18" t="s">
        <v>23</v>
      </c>
      <c r="C34" s="39">
        <f>SUM(C30:C33)</f>
        <v>70</v>
      </c>
      <c r="D34" s="11">
        <f>SUM(D30:D33)</f>
        <v>10</v>
      </c>
      <c r="E34" s="19">
        <f t="shared" si="0"/>
        <v>80</v>
      </c>
    </row>
    <row r="35" spans="1:5" ht="15" customHeight="1">
      <c r="A35" s="9" t="s">
        <v>24</v>
      </c>
      <c r="B35" s="46" t="s">
        <v>97</v>
      </c>
      <c r="C35" s="47">
        <f>C16+C22+C28+C34</f>
        <v>1642</v>
      </c>
      <c r="D35" s="48">
        <f>D16+D22+D28+D34</f>
        <v>671</v>
      </c>
      <c r="E35" s="49">
        <f t="shared" si="0"/>
        <v>2313</v>
      </c>
    </row>
    <row r="36" spans="1:5" ht="12.75">
      <c r="A36" s="21" t="s">
        <v>26</v>
      </c>
      <c r="B36" s="22" t="s">
        <v>27</v>
      </c>
      <c r="C36" s="42">
        <f>+C33</f>
        <v>70</v>
      </c>
      <c r="D36" s="24">
        <f>+D33</f>
        <v>10</v>
      </c>
      <c r="E36" s="34">
        <f t="shared" si="0"/>
        <v>80</v>
      </c>
    </row>
    <row r="37" spans="1:5" ht="15">
      <c r="A37" s="9" t="s">
        <v>28</v>
      </c>
      <c r="B37" s="46" t="s">
        <v>98</v>
      </c>
      <c r="C37" s="47">
        <f>C35-C36</f>
        <v>1572</v>
      </c>
      <c r="D37" s="48">
        <f>D35-D36</f>
        <v>661</v>
      </c>
      <c r="E37" s="49">
        <f t="shared" si="0"/>
        <v>2233</v>
      </c>
    </row>
    <row r="38" spans="1:5" ht="12.75">
      <c r="A38" s="9"/>
      <c r="B38" s="25"/>
      <c r="C38" s="40"/>
      <c r="D38" s="14"/>
      <c r="E38" s="15"/>
    </row>
    <row r="39" spans="1:5" ht="12.75">
      <c r="A39" s="9"/>
      <c r="B39" s="10" t="s">
        <v>30</v>
      </c>
      <c r="C39" s="40"/>
      <c r="D39" s="14"/>
      <c r="E39" s="15"/>
    </row>
    <row r="40" spans="1:5" ht="12.75">
      <c r="A40" s="9"/>
      <c r="B40" s="26" t="s">
        <v>31</v>
      </c>
      <c r="C40" s="40"/>
      <c r="D40" s="14"/>
      <c r="E40" s="15"/>
    </row>
    <row r="41" spans="1:5" ht="12.75">
      <c r="A41" s="9"/>
      <c r="B41" s="17" t="s">
        <v>9</v>
      </c>
      <c r="C41" s="40">
        <f>327+77</f>
        <v>404</v>
      </c>
      <c r="D41" s="14">
        <f>137+30</f>
        <v>167</v>
      </c>
      <c r="E41" s="15">
        <f>SUM(C41:D41)</f>
        <v>571</v>
      </c>
    </row>
    <row r="42" spans="1:5" ht="12.75">
      <c r="A42" s="9"/>
      <c r="B42" s="17" t="s">
        <v>10</v>
      </c>
      <c r="C42" s="40">
        <f>148+1</f>
        <v>149</v>
      </c>
      <c r="D42" s="14">
        <f>12+2</f>
        <v>14</v>
      </c>
      <c r="E42" s="15">
        <f>SUM(C42:D42)</f>
        <v>163</v>
      </c>
    </row>
    <row r="43" spans="1:5" ht="12.75">
      <c r="A43" s="9"/>
      <c r="B43" s="17" t="s">
        <v>11</v>
      </c>
      <c r="C43" s="40">
        <v>14</v>
      </c>
      <c r="D43" s="14">
        <v>3</v>
      </c>
      <c r="E43" s="15">
        <f>SUM(C43:D43)</f>
        <v>17</v>
      </c>
    </row>
    <row r="44" spans="1:5" ht="12.75">
      <c r="A44" s="9"/>
      <c r="B44" s="17" t="s">
        <v>12</v>
      </c>
      <c r="C44" s="40">
        <v>6</v>
      </c>
      <c r="D44" s="14">
        <v>0</v>
      </c>
      <c r="E44" s="15">
        <f>SUM(C44:D44)</f>
        <v>6</v>
      </c>
    </row>
    <row r="45" spans="1:5" ht="12.75">
      <c r="A45" s="9"/>
      <c r="B45" s="18" t="s">
        <v>99</v>
      </c>
      <c r="C45" s="50">
        <f>SUM(C41:C44)</f>
        <v>573</v>
      </c>
      <c r="D45" s="11">
        <f>SUM(D41:D44)</f>
        <v>184</v>
      </c>
      <c r="E45" s="19">
        <f>SUM(C45:D45)</f>
        <v>757</v>
      </c>
    </row>
    <row r="46" spans="1:5" ht="12.75">
      <c r="A46" s="9"/>
      <c r="B46" s="26" t="s">
        <v>33</v>
      </c>
      <c r="C46" s="40"/>
      <c r="D46" s="14"/>
      <c r="E46" s="15"/>
    </row>
    <row r="47" spans="1:5" ht="12.75">
      <c r="A47" s="9"/>
      <c r="B47" s="17" t="s">
        <v>9</v>
      </c>
      <c r="C47" s="40">
        <v>17</v>
      </c>
      <c r="D47" s="14">
        <f>31</f>
        <v>31</v>
      </c>
      <c r="E47" s="15">
        <f aca="true" t="shared" si="1" ref="E47:E52">SUM(C47:D47)</f>
        <v>48</v>
      </c>
    </row>
    <row r="48" spans="1:5" ht="12.75">
      <c r="A48" s="9"/>
      <c r="B48" s="17" t="s">
        <v>10</v>
      </c>
      <c r="C48" s="40">
        <v>11</v>
      </c>
      <c r="D48" s="14"/>
      <c r="E48" s="15">
        <f t="shared" si="1"/>
        <v>11</v>
      </c>
    </row>
    <row r="49" spans="1:5" ht="12.75">
      <c r="A49" s="9"/>
      <c r="B49" s="17" t="s">
        <v>11</v>
      </c>
      <c r="C49" s="40">
        <v>2</v>
      </c>
      <c r="D49" s="14"/>
      <c r="E49" s="15">
        <f t="shared" si="1"/>
        <v>2</v>
      </c>
    </row>
    <row r="50" spans="1:5" ht="12.75">
      <c r="A50" s="9"/>
      <c r="B50" s="17" t="s">
        <v>12</v>
      </c>
      <c r="C50" s="40"/>
      <c r="D50" s="14"/>
      <c r="E50" s="15">
        <f t="shared" si="1"/>
        <v>0</v>
      </c>
    </row>
    <row r="51" spans="1:5" ht="12.75" customHeight="1">
      <c r="A51" s="9"/>
      <c r="B51" s="18" t="s">
        <v>100</v>
      </c>
      <c r="C51" s="50">
        <f>SUM(C47:C50)</f>
        <v>30</v>
      </c>
      <c r="D51" s="11">
        <f>SUM(D47:D50)</f>
        <v>31</v>
      </c>
      <c r="E51" s="19">
        <f t="shared" si="1"/>
        <v>61</v>
      </c>
    </row>
    <row r="52" spans="1:5" s="56" customFormat="1" ht="12.75" customHeight="1">
      <c r="A52" s="54" t="s">
        <v>35</v>
      </c>
      <c r="B52" s="55" t="s">
        <v>36</v>
      </c>
      <c r="C52" s="51">
        <f>+C51+C45</f>
        <v>603</v>
      </c>
      <c r="D52" s="20">
        <f>+D51+D45</f>
        <v>215</v>
      </c>
      <c r="E52" s="12">
        <f t="shared" si="1"/>
        <v>818</v>
      </c>
    </row>
    <row r="53" spans="1:5" ht="12.75">
      <c r="A53" s="9"/>
      <c r="B53" s="10"/>
      <c r="C53" s="40"/>
      <c r="D53" s="14"/>
      <c r="E53" s="15"/>
    </row>
    <row r="54" spans="1:5" ht="12.75">
      <c r="A54" s="9"/>
      <c r="B54" s="10" t="s">
        <v>37</v>
      </c>
      <c r="C54" s="40"/>
      <c r="D54" s="14"/>
      <c r="E54" s="15"/>
    </row>
    <row r="55" spans="1:5" ht="12.75">
      <c r="A55" s="9"/>
      <c r="B55" s="17" t="s">
        <v>9</v>
      </c>
      <c r="C55" s="40">
        <v>15</v>
      </c>
      <c r="D55" s="14">
        <v>1</v>
      </c>
      <c r="E55" s="15">
        <f>SUM(C55:D55)</f>
        <v>16</v>
      </c>
    </row>
    <row r="56" spans="1:5" ht="12.75">
      <c r="A56" s="9"/>
      <c r="B56" s="17" t="s">
        <v>10</v>
      </c>
      <c r="C56" s="40"/>
      <c r="D56" s="14"/>
      <c r="E56" s="15">
        <f>SUM(C56:D56)</f>
        <v>0</v>
      </c>
    </row>
    <row r="57" spans="1:5" ht="12.75">
      <c r="A57" s="9"/>
      <c r="B57" s="17" t="s">
        <v>11</v>
      </c>
      <c r="C57" s="40"/>
      <c r="D57" s="14"/>
      <c r="E57" s="15">
        <f>SUM(C57:D57)</f>
        <v>0</v>
      </c>
    </row>
    <row r="58" spans="1:5" ht="12.75">
      <c r="A58" s="9"/>
      <c r="B58" s="17" t="s">
        <v>12</v>
      </c>
      <c r="C58" s="40"/>
      <c r="D58" s="14"/>
      <c r="E58" s="15">
        <f>SUM(C58:D58)</f>
        <v>0</v>
      </c>
    </row>
    <row r="59" spans="1:5" s="56" customFormat="1" ht="12.75" customHeight="1">
      <c r="A59" s="54" t="s">
        <v>38</v>
      </c>
      <c r="B59" s="57" t="s">
        <v>101</v>
      </c>
      <c r="C59" s="41">
        <f>SUM(C55:C58)</f>
        <v>15</v>
      </c>
      <c r="D59" s="20">
        <f>SUM(D55:D58)</f>
        <v>1</v>
      </c>
      <c r="E59" s="12">
        <f>SUM(C59:D59)</f>
        <v>16</v>
      </c>
    </row>
    <row r="60" spans="1:5" ht="12.75">
      <c r="A60" s="9"/>
      <c r="B60" s="10"/>
      <c r="C60" s="40"/>
      <c r="D60" s="14"/>
      <c r="E60" s="15"/>
    </row>
    <row r="61" spans="1:5" ht="12.75">
      <c r="A61" s="9"/>
      <c r="B61" s="10" t="s">
        <v>40</v>
      </c>
      <c r="C61" s="40"/>
      <c r="D61" s="14"/>
      <c r="E61" s="15"/>
    </row>
    <row r="62" spans="1:5" ht="12.75">
      <c r="A62" s="9"/>
      <c r="B62" s="17" t="s">
        <v>9</v>
      </c>
      <c r="C62" s="40">
        <v>261</v>
      </c>
      <c r="D62" s="14">
        <v>28</v>
      </c>
      <c r="E62" s="15">
        <f>SUM(C62:D62)</f>
        <v>289</v>
      </c>
    </row>
    <row r="63" spans="1:5" ht="12.75">
      <c r="A63" s="9"/>
      <c r="B63" s="17" t="s">
        <v>10</v>
      </c>
      <c r="C63" s="40">
        <v>14</v>
      </c>
      <c r="D63" s="14">
        <v>1</v>
      </c>
      <c r="E63" s="15">
        <f>SUM(C63:D63)</f>
        <v>15</v>
      </c>
    </row>
    <row r="64" spans="1:5" ht="12.75">
      <c r="A64" s="9"/>
      <c r="B64" s="17" t="s">
        <v>11</v>
      </c>
      <c r="C64" s="40">
        <v>3</v>
      </c>
      <c r="D64" s="14">
        <v>0</v>
      </c>
      <c r="E64" s="15">
        <f>SUM(C64:D64)</f>
        <v>3</v>
      </c>
    </row>
    <row r="65" spans="1:5" ht="12.75">
      <c r="A65" s="9"/>
      <c r="B65" s="17" t="s">
        <v>12</v>
      </c>
      <c r="C65" s="40">
        <v>6</v>
      </c>
      <c r="D65" s="14">
        <v>0</v>
      </c>
      <c r="E65" s="15">
        <f>SUM(C65:D65)</f>
        <v>6</v>
      </c>
    </row>
    <row r="66" spans="1:5" s="56" customFormat="1" ht="12.75">
      <c r="A66" s="54" t="s">
        <v>41</v>
      </c>
      <c r="B66" s="57" t="s">
        <v>102</v>
      </c>
      <c r="C66" s="41">
        <f>SUM(C62:C65)</f>
        <v>284</v>
      </c>
      <c r="D66" s="20">
        <f>SUM(D62:D65)</f>
        <v>29</v>
      </c>
      <c r="E66" s="12">
        <f>SUM(C66:D66)</f>
        <v>313</v>
      </c>
    </row>
    <row r="67" spans="1:5" ht="12.75">
      <c r="A67" s="9"/>
      <c r="B67" s="10"/>
      <c r="C67" s="40"/>
      <c r="D67" s="14"/>
      <c r="E67" s="15"/>
    </row>
    <row r="68" spans="1:5" ht="12.75">
      <c r="A68" s="9" t="s">
        <v>43</v>
      </c>
      <c r="B68" s="10" t="s">
        <v>44</v>
      </c>
      <c r="C68" s="41">
        <f>130+6</f>
        <v>136</v>
      </c>
      <c r="D68" s="20">
        <v>6</v>
      </c>
      <c r="E68" s="12">
        <f>SUM(C68:D68)</f>
        <v>142</v>
      </c>
    </row>
    <row r="69" spans="1:5" ht="12.75">
      <c r="A69" s="9"/>
      <c r="B69" s="10"/>
      <c r="C69" s="40"/>
      <c r="D69" s="14"/>
      <c r="E69" s="15"/>
    </row>
    <row r="70" spans="1:5" ht="12.75">
      <c r="A70" s="9"/>
      <c r="B70" s="10" t="s">
        <v>45</v>
      </c>
      <c r="C70" s="40"/>
      <c r="D70" s="14"/>
      <c r="E70" s="15"/>
    </row>
    <row r="71" spans="1:5" ht="12.75">
      <c r="A71" s="9" t="s">
        <v>46</v>
      </c>
      <c r="B71" s="25" t="s">
        <v>47</v>
      </c>
      <c r="C71" s="40">
        <v>16</v>
      </c>
      <c r="D71" s="14">
        <v>14</v>
      </c>
      <c r="E71" s="15">
        <f aca="true" t="shared" si="2" ref="E71:E77">SUM(C71:D71)</f>
        <v>30</v>
      </c>
    </row>
    <row r="72" spans="1:5" ht="12.75">
      <c r="A72" s="9" t="s">
        <v>48</v>
      </c>
      <c r="B72" s="25" t="s">
        <v>49</v>
      </c>
      <c r="C72" s="40">
        <v>109</v>
      </c>
      <c r="D72" s="14">
        <v>73</v>
      </c>
      <c r="E72" s="15">
        <f t="shared" si="2"/>
        <v>182</v>
      </c>
    </row>
    <row r="73" spans="1:5" ht="12.75">
      <c r="A73" s="9" t="s">
        <v>50</v>
      </c>
      <c r="B73" s="25" t="s">
        <v>51</v>
      </c>
      <c r="C73" s="40">
        <v>81</v>
      </c>
      <c r="D73" s="14">
        <v>91</v>
      </c>
      <c r="E73" s="15">
        <f t="shared" si="2"/>
        <v>172</v>
      </c>
    </row>
    <row r="74" spans="1:5" ht="12.75">
      <c r="A74" s="9" t="s">
        <v>52</v>
      </c>
      <c r="B74" s="25" t="s">
        <v>53</v>
      </c>
      <c r="C74" s="40">
        <f>337+12</f>
        <v>349</v>
      </c>
      <c r="D74" s="14">
        <f>277+3</f>
        <v>280</v>
      </c>
      <c r="E74" s="15">
        <f t="shared" si="2"/>
        <v>629</v>
      </c>
    </row>
    <row r="75" spans="1:5" ht="12.75">
      <c r="A75" s="9" t="s">
        <v>54</v>
      </c>
      <c r="B75" s="25" t="s">
        <v>55</v>
      </c>
      <c r="C75" s="41">
        <f>SUM(C71:C74)</f>
        <v>555</v>
      </c>
      <c r="D75" s="20">
        <f>SUM(D71:D74)</f>
        <v>458</v>
      </c>
      <c r="E75" s="12">
        <f t="shared" si="2"/>
        <v>1013</v>
      </c>
    </row>
    <row r="76" spans="1:5" ht="12.75">
      <c r="A76" s="21" t="s">
        <v>56</v>
      </c>
      <c r="B76" s="22" t="s">
        <v>27</v>
      </c>
      <c r="C76" s="42">
        <f>+C36</f>
        <v>70</v>
      </c>
      <c r="D76" s="24">
        <f>+D36</f>
        <v>10</v>
      </c>
      <c r="E76" s="34">
        <f t="shared" si="2"/>
        <v>80</v>
      </c>
    </row>
    <row r="77" spans="1:5" ht="12.75">
      <c r="A77" s="9" t="s">
        <v>57</v>
      </c>
      <c r="B77" s="10" t="s">
        <v>58</v>
      </c>
      <c r="C77" s="41">
        <f>C75-C76</f>
        <v>485</v>
      </c>
      <c r="D77" s="20">
        <f>D75-D76</f>
        <v>448</v>
      </c>
      <c r="E77" s="12">
        <f t="shared" si="2"/>
        <v>933</v>
      </c>
    </row>
    <row r="78" spans="1:5" ht="12.75">
      <c r="A78" s="9"/>
      <c r="B78" s="10"/>
      <c r="C78" s="40"/>
      <c r="D78" s="14"/>
      <c r="E78" s="15"/>
    </row>
    <row r="79" spans="1:5" ht="24">
      <c r="A79" s="9" t="s">
        <v>59</v>
      </c>
      <c r="B79" s="10" t="s">
        <v>60</v>
      </c>
      <c r="C79" s="41">
        <f>C52+C59+C66+C68+C77</f>
        <v>1523</v>
      </c>
      <c r="D79" s="20">
        <f>D52+D59+D66+D68+D77</f>
        <v>699</v>
      </c>
      <c r="E79" s="12">
        <f>SUM(C79:D79)</f>
        <v>2222</v>
      </c>
    </row>
    <row r="80" spans="1:5" ht="12.75">
      <c r="A80" s="9"/>
      <c r="B80" s="27"/>
      <c r="C80" s="40"/>
      <c r="D80" s="14"/>
      <c r="E80" s="15"/>
    </row>
    <row r="81" spans="1:5" ht="12.75">
      <c r="A81" s="9" t="s">
        <v>61</v>
      </c>
      <c r="B81" s="10" t="s">
        <v>62</v>
      </c>
      <c r="C81" s="41">
        <v>12</v>
      </c>
      <c r="D81" s="20">
        <v>0</v>
      </c>
      <c r="E81" s="12">
        <f>SUM(C81:D81)</f>
        <v>12</v>
      </c>
    </row>
    <row r="82" spans="1:5" ht="12.75">
      <c r="A82" s="9"/>
      <c r="B82" s="27"/>
      <c r="C82" s="40"/>
      <c r="D82" s="14"/>
      <c r="E82" s="15"/>
    </row>
    <row r="83" spans="1:5" ht="24">
      <c r="A83" s="9" t="s">
        <v>63</v>
      </c>
      <c r="B83" s="10" t="s">
        <v>64</v>
      </c>
      <c r="C83" s="41">
        <f>C79+C81</f>
        <v>1535</v>
      </c>
      <c r="D83" s="20">
        <f>D79+D81</f>
        <v>699</v>
      </c>
      <c r="E83" s="12">
        <f>SUM(C83:D83)</f>
        <v>2234</v>
      </c>
    </row>
    <row r="84" spans="1:5" ht="12.75">
      <c r="A84" s="9"/>
      <c r="B84" s="27"/>
      <c r="C84" s="40"/>
      <c r="D84" s="14"/>
      <c r="E84" s="15"/>
    </row>
    <row r="85" spans="1:5" ht="13.5" thickBot="1">
      <c r="A85" s="28" t="s">
        <v>65</v>
      </c>
      <c r="B85" s="29" t="s">
        <v>66</v>
      </c>
      <c r="C85" s="52">
        <f>+C8+C37-C83</f>
        <v>407</v>
      </c>
      <c r="D85" s="53">
        <f>+D8+D37-D83</f>
        <v>732</v>
      </c>
      <c r="E85" s="30">
        <f>SUM(C85:D85)</f>
        <v>1139</v>
      </c>
    </row>
    <row r="86" spans="1:5" ht="30" customHeight="1">
      <c r="A86" s="69" t="s">
        <v>67</v>
      </c>
      <c r="B86" s="70"/>
      <c r="C86" s="35">
        <f>(C8+C35)-(C76+C83)</f>
        <v>407</v>
      </c>
      <c r="D86" s="35">
        <f>(D8+D35)-(D76+D83)</f>
        <v>732</v>
      </c>
      <c r="E86" s="35">
        <f>(E8+E35)-(E76+E83)</f>
        <v>1139</v>
      </c>
    </row>
    <row r="87" spans="1:5" ht="42.75" customHeight="1">
      <c r="A87" s="67" t="s">
        <v>68</v>
      </c>
      <c r="B87" s="68"/>
      <c r="C87" s="68"/>
      <c r="D87" s="68"/>
      <c r="E87" s="68"/>
    </row>
    <row r="88" spans="1:5" ht="12.75">
      <c r="A88" s="36"/>
      <c r="B88" s="37"/>
      <c r="C88" s="37"/>
      <c r="D88" s="37"/>
      <c r="E88" s="37"/>
    </row>
    <row r="89" spans="1:5" ht="15" customHeight="1">
      <c r="A89" s="62" t="s">
        <v>69</v>
      </c>
      <c r="B89" s="63"/>
      <c r="C89" s="63"/>
      <c r="D89" s="63"/>
      <c r="E89" s="63"/>
    </row>
    <row r="90" ht="12.75">
      <c r="A90" s="31"/>
    </row>
    <row r="91" spans="1:5" ht="45.75" customHeight="1">
      <c r="A91" s="58" t="s">
        <v>70</v>
      </c>
      <c r="B91" s="59"/>
      <c r="C91" s="59"/>
      <c r="D91" s="59"/>
      <c r="E91" s="59"/>
    </row>
    <row r="92" ht="15" customHeight="1">
      <c r="A92" s="32"/>
    </row>
    <row r="93" ht="15.75">
      <c r="A93" s="33" t="s">
        <v>91</v>
      </c>
    </row>
  </sheetData>
  <sheetProtection/>
  <mergeCells count="6">
    <mergeCell ref="A91:E91"/>
    <mergeCell ref="A1:E1"/>
    <mergeCell ref="A89:E89"/>
    <mergeCell ref="C6:E6"/>
    <mergeCell ref="A87:E87"/>
    <mergeCell ref="A86:B86"/>
  </mergeCells>
  <printOptions/>
  <pageMargins left="0.25" right="0.25" top="0.8" bottom="0.33" header="0.48" footer="0.21"/>
  <pageSetup fitToHeight="1" fitToWidth="1" horizontalDpi="600" verticalDpi="600" orientation="portrait" paperSize="5" scale="8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3">
      <selection activeCell="C19" sqref="C19"/>
    </sheetView>
  </sheetViews>
  <sheetFormatPr defaultColWidth="8.8515625" defaultRowHeight="12.75"/>
  <cols>
    <col min="1" max="1" width="2.8515625" style="0" customWidth="1"/>
    <col min="2" max="2" width="69.8515625" style="0" customWidth="1"/>
  </cols>
  <sheetData>
    <row r="1" spans="1:5" ht="18">
      <c r="A1" s="60" t="s">
        <v>71</v>
      </c>
      <c r="B1" s="61"/>
      <c r="C1" s="61"/>
      <c r="D1" s="61"/>
      <c r="E1" s="61"/>
    </row>
    <row r="2" ht="15.75">
      <c r="A2" s="2" t="s">
        <v>0</v>
      </c>
    </row>
    <row r="3" ht="15.75">
      <c r="A3" s="2" t="s">
        <v>1</v>
      </c>
    </row>
    <row r="4" ht="15.75">
      <c r="A4" s="44" t="str">
        <f>+'Jan '!A4</f>
        <v>YEAR: 1/1/2010 - 12/31/2010</v>
      </c>
    </row>
    <row r="5" ht="13.5" thickBot="1">
      <c r="A5" s="3"/>
    </row>
    <row r="6" spans="1:5" ht="13.5" thickBot="1">
      <c r="A6" s="4"/>
      <c r="B6" s="5" t="str">
        <f>+'Jan '!B6</f>
        <v>NAME OF ORGANIZATION:  Miami Dade Coalition</v>
      </c>
      <c r="C6" s="64" t="s">
        <v>77</v>
      </c>
      <c r="D6" s="65"/>
      <c r="E6" s="66"/>
    </row>
    <row r="7" spans="1:5" ht="12.75">
      <c r="A7" s="4"/>
      <c r="B7" s="6"/>
      <c r="C7" s="38" t="s">
        <v>2</v>
      </c>
      <c r="D7" s="7" t="s">
        <v>3</v>
      </c>
      <c r="E7" s="8" t="s">
        <v>4</v>
      </c>
    </row>
    <row r="8" spans="1:5" ht="12.75">
      <c r="A8" s="9" t="s">
        <v>5</v>
      </c>
      <c r="B8" s="10" t="s">
        <v>6</v>
      </c>
      <c r="C8" s="39">
        <f>+'Jun '!C85</f>
        <v>617</v>
      </c>
      <c r="D8" s="11">
        <f>+'Jun '!D85</f>
        <v>846</v>
      </c>
      <c r="E8" s="12">
        <f>SUM(C8:D8)</f>
        <v>1463</v>
      </c>
    </row>
    <row r="9" spans="1:5" ht="12.75">
      <c r="A9" s="9"/>
      <c r="B9" s="10"/>
      <c r="C9" s="40"/>
      <c r="D9" s="14"/>
      <c r="E9" s="12"/>
    </row>
    <row r="10" spans="1:5" ht="12.75">
      <c r="A10" s="9"/>
      <c r="B10" s="10" t="s">
        <v>7</v>
      </c>
      <c r="C10" s="40"/>
      <c r="D10" s="14"/>
      <c r="E10" s="15"/>
    </row>
    <row r="11" spans="1:5" ht="12.75">
      <c r="A11" s="9"/>
      <c r="B11" s="16" t="s">
        <v>8</v>
      </c>
      <c r="C11" s="40"/>
      <c r="D11" s="14"/>
      <c r="E11" s="15"/>
    </row>
    <row r="12" spans="1:5" ht="12.75">
      <c r="A12" s="9"/>
      <c r="B12" s="17" t="s">
        <v>9</v>
      </c>
      <c r="C12" s="40">
        <f>901+37+32</f>
        <v>970</v>
      </c>
      <c r="D12" s="14">
        <f>534+48+44+2</f>
        <v>628</v>
      </c>
      <c r="E12" s="15">
        <f>SUM(C12:D12)</f>
        <v>1598</v>
      </c>
    </row>
    <row r="13" spans="1:5" ht="12.75">
      <c r="A13" s="9"/>
      <c r="B13" s="17" t="s">
        <v>10</v>
      </c>
      <c r="C13" s="40">
        <f>134+9</f>
        <v>143</v>
      </c>
      <c r="D13" s="14">
        <v>268</v>
      </c>
      <c r="E13" s="15">
        <f>SUM(C13:D13)</f>
        <v>411</v>
      </c>
    </row>
    <row r="14" spans="1:5" ht="12.75">
      <c r="A14" s="9"/>
      <c r="B14" s="17" t="s">
        <v>11</v>
      </c>
      <c r="C14" s="40">
        <v>251</v>
      </c>
      <c r="D14" s="14">
        <v>265</v>
      </c>
      <c r="E14" s="15">
        <f>SUM(C14:D14)</f>
        <v>516</v>
      </c>
    </row>
    <row r="15" spans="1:5" ht="12.75">
      <c r="A15" s="9"/>
      <c r="B15" s="17" t="s">
        <v>12</v>
      </c>
      <c r="C15" s="40">
        <v>632</v>
      </c>
      <c r="D15" s="14">
        <v>270</v>
      </c>
      <c r="E15" s="15">
        <f>SUM(C15:D15)</f>
        <v>902</v>
      </c>
    </row>
    <row r="16" spans="1:5" ht="12.75">
      <c r="A16" s="9" t="s">
        <v>13</v>
      </c>
      <c r="B16" s="18" t="s">
        <v>14</v>
      </c>
      <c r="C16" s="50">
        <f>SUM(C12:C15)</f>
        <v>1996</v>
      </c>
      <c r="D16" s="11">
        <f>SUM(D12:D15)</f>
        <v>1431</v>
      </c>
      <c r="E16" s="19">
        <f>SUM(C16:D16)</f>
        <v>3427</v>
      </c>
    </row>
    <row r="17" spans="1:5" ht="12.75">
      <c r="A17" s="9"/>
      <c r="B17" s="16" t="s">
        <v>15</v>
      </c>
      <c r="C17" s="40"/>
      <c r="D17" s="14"/>
      <c r="E17" s="15"/>
    </row>
    <row r="18" spans="1:5" ht="12.75">
      <c r="A18" s="9"/>
      <c r="B18" s="17" t="s">
        <v>9</v>
      </c>
      <c r="C18" s="40">
        <v>16</v>
      </c>
      <c r="D18" s="14">
        <v>10</v>
      </c>
      <c r="E18" s="15">
        <f>SUM(C18:D18)</f>
        <v>26</v>
      </c>
    </row>
    <row r="19" spans="1:5" ht="12.75">
      <c r="A19" s="9"/>
      <c r="B19" s="17" t="s">
        <v>10</v>
      </c>
      <c r="C19" s="40"/>
      <c r="D19" s="14"/>
      <c r="E19" s="15">
        <f>SUM(C19:D19)</f>
        <v>0</v>
      </c>
    </row>
    <row r="20" spans="1:5" ht="12.75">
      <c r="A20" s="9"/>
      <c r="B20" s="17" t="s">
        <v>11</v>
      </c>
      <c r="C20" s="40"/>
      <c r="D20" s="14"/>
      <c r="E20" s="15">
        <f>SUM(C20:D20)</f>
        <v>0</v>
      </c>
    </row>
    <row r="21" spans="1:5" ht="12.75">
      <c r="A21" s="9"/>
      <c r="B21" s="17" t="s">
        <v>12</v>
      </c>
      <c r="C21" s="40"/>
      <c r="D21" s="14"/>
      <c r="E21" s="15">
        <f>SUM(C21:D21)</f>
        <v>0</v>
      </c>
    </row>
    <row r="22" spans="1:5" ht="12.75">
      <c r="A22" s="9" t="s">
        <v>16</v>
      </c>
      <c r="B22" s="18" t="s">
        <v>95</v>
      </c>
      <c r="C22" s="50">
        <f>SUM(C17:C21)</f>
        <v>16</v>
      </c>
      <c r="D22" s="11">
        <f>SUM(D17:D21)</f>
        <v>10</v>
      </c>
      <c r="E22" s="19">
        <f>SUM(C22:D22)</f>
        <v>26</v>
      </c>
    </row>
    <row r="23" spans="1:5" ht="12.75">
      <c r="A23" s="9"/>
      <c r="B23" s="16" t="s">
        <v>18</v>
      </c>
      <c r="C23" s="40"/>
      <c r="D23" s="14"/>
      <c r="E23" s="15"/>
    </row>
    <row r="24" spans="1:5" ht="12.75">
      <c r="A24" s="9"/>
      <c r="B24" s="17" t="s">
        <v>9</v>
      </c>
      <c r="C24" s="40"/>
      <c r="D24" s="14"/>
      <c r="E24" s="15">
        <f>SUM(C24:D24)</f>
        <v>0</v>
      </c>
    </row>
    <row r="25" spans="1:5" ht="12.75">
      <c r="A25" s="9"/>
      <c r="B25" s="17" t="s">
        <v>10</v>
      </c>
      <c r="C25" s="40"/>
      <c r="D25" s="14"/>
      <c r="E25" s="15">
        <f>SUM(C25:D25)</f>
        <v>0</v>
      </c>
    </row>
    <row r="26" spans="1:5" ht="12.75">
      <c r="A26" s="9"/>
      <c r="B26" s="17" t="s">
        <v>11</v>
      </c>
      <c r="C26" s="40"/>
      <c r="D26" s="14"/>
      <c r="E26" s="15">
        <f>SUM(C26:D26)</f>
        <v>0</v>
      </c>
    </row>
    <row r="27" spans="1:5" ht="12.75">
      <c r="A27" s="9"/>
      <c r="B27" s="17" t="s">
        <v>12</v>
      </c>
      <c r="C27" s="40"/>
      <c r="D27" s="14"/>
      <c r="E27" s="15">
        <f>SUM(C27:D27)</f>
        <v>0</v>
      </c>
    </row>
    <row r="28" spans="1:5" ht="12.75">
      <c r="A28" s="9" t="s">
        <v>19</v>
      </c>
      <c r="B28" s="18" t="s">
        <v>96</v>
      </c>
      <c r="C28" s="39">
        <f>SUM(C24:C27)</f>
        <v>0</v>
      </c>
      <c r="D28" s="11">
        <f>SUM(D24:D27)</f>
        <v>0</v>
      </c>
      <c r="E28" s="19">
        <f>SUM(C28:D28)</f>
        <v>0</v>
      </c>
    </row>
    <row r="29" spans="1:5" ht="12.75">
      <c r="A29" s="9"/>
      <c r="B29" s="16" t="s">
        <v>21</v>
      </c>
      <c r="C29" s="40"/>
      <c r="D29" s="14"/>
      <c r="E29" s="15"/>
    </row>
    <row r="30" spans="1:5" ht="12.75">
      <c r="A30" s="9"/>
      <c r="B30" s="17" t="s">
        <v>9</v>
      </c>
      <c r="C30" s="40"/>
      <c r="D30" s="14"/>
      <c r="E30" s="15">
        <f aca="true" t="shared" si="0" ref="E30:E37">SUM(C30:D30)</f>
        <v>0</v>
      </c>
    </row>
    <row r="31" spans="1:5" ht="12.75">
      <c r="A31" s="9"/>
      <c r="B31" s="17" t="s">
        <v>10</v>
      </c>
      <c r="C31" s="40"/>
      <c r="D31" s="14"/>
      <c r="E31" s="15">
        <f t="shared" si="0"/>
        <v>0</v>
      </c>
    </row>
    <row r="32" spans="1:5" ht="12.75">
      <c r="A32" s="9"/>
      <c r="B32" s="17" t="s">
        <v>11</v>
      </c>
      <c r="C32" s="40"/>
      <c r="D32" s="14"/>
      <c r="E32" s="15">
        <f t="shared" si="0"/>
        <v>0</v>
      </c>
    </row>
    <row r="33" spans="1:5" ht="12.75">
      <c r="A33" s="9"/>
      <c r="B33" s="17" t="s">
        <v>12</v>
      </c>
      <c r="C33" s="40">
        <v>92</v>
      </c>
      <c r="D33" s="14">
        <v>13</v>
      </c>
      <c r="E33" s="15">
        <f t="shared" si="0"/>
        <v>105</v>
      </c>
    </row>
    <row r="34" spans="1:5" ht="12.75">
      <c r="A34" s="9" t="s">
        <v>22</v>
      </c>
      <c r="B34" s="18" t="s">
        <v>23</v>
      </c>
      <c r="C34" s="39">
        <f>SUM(C30:C33)</f>
        <v>92</v>
      </c>
      <c r="D34" s="11">
        <f>SUM(D30:D33)</f>
        <v>13</v>
      </c>
      <c r="E34" s="19">
        <f t="shared" si="0"/>
        <v>105</v>
      </c>
    </row>
    <row r="35" spans="1:5" ht="15">
      <c r="A35" s="9" t="s">
        <v>24</v>
      </c>
      <c r="B35" s="46" t="s">
        <v>97</v>
      </c>
      <c r="C35" s="47">
        <f>C16+C22+C28+C34</f>
        <v>2104</v>
      </c>
      <c r="D35" s="48">
        <f>D16+D22+D28+D34</f>
        <v>1454</v>
      </c>
      <c r="E35" s="49">
        <f t="shared" si="0"/>
        <v>3558</v>
      </c>
    </row>
    <row r="36" spans="1:5" ht="12.75">
      <c r="A36" s="21" t="s">
        <v>26</v>
      </c>
      <c r="B36" s="22" t="s">
        <v>27</v>
      </c>
      <c r="C36" s="42">
        <f>+C33</f>
        <v>92</v>
      </c>
      <c r="D36" s="24">
        <f>+D33</f>
        <v>13</v>
      </c>
      <c r="E36" s="34">
        <f t="shared" si="0"/>
        <v>105</v>
      </c>
    </row>
    <row r="37" spans="1:5" ht="15">
      <c r="A37" s="9" t="s">
        <v>28</v>
      </c>
      <c r="B37" s="46" t="s">
        <v>98</v>
      </c>
      <c r="C37" s="47">
        <f>C35-C36</f>
        <v>2012</v>
      </c>
      <c r="D37" s="48">
        <f>D35-D36</f>
        <v>1441</v>
      </c>
      <c r="E37" s="49">
        <f t="shared" si="0"/>
        <v>3453</v>
      </c>
    </row>
    <row r="38" spans="1:5" ht="12.75">
      <c r="A38" s="9"/>
      <c r="B38" s="25"/>
      <c r="C38" s="40"/>
      <c r="D38" s="14"/>
      <c r="E38" s="15"/>
    </row>
    <row r="39" spans="1:5" ht="12.75">
      <c r="A39" s="9"/>
      <c r="B39" s="10" t="s">
        <v>30</v>
      </c>
      <c r="C39" s="40"/>
      <c r="D39" s="14"/>
      <c r="E39" s="15"/>
    </row>
    <row r="40" spans="1:5" ht="12.75">
      <c r="A40" s="9"/>
      <c r="B40" s="26" t="s">
        <v>31</v>
      </c>
      <c r="C40" s="40"/>
      <c r="D40" s="14"/>
      <c r="E40" s="15"/>
    </row>
    <row r="41" spans="1:5" ht="12.75">
      <c r="A41" s="9"/>
      <c r="B41" s="17" t="s">
        <v>9</v>
      </c>
      <c r="C41" s="40">
        <f>393+75</f>
        <v>468</v>
      </c>
      <c r="D41" s="14">
        <f>122+51</f>
        <v>173</v>
      </c>
      <c r="E41" s="15">
        <f>SUM(C41:D41)</f>
        <v>641</v>
      </c>
    </row>
    <row r="42" spans="1:5" ht="12.75">
      <c r="A42" s="9"/>
      <c r="B42" s="17" t="s">
        <v>10</v>
      </c>
      <c r="C42" s="40">
        <v>179</v>
      </c>
      <c r="D42" s="14">
        <v>11</v>
      </c>
      <c r="E42" s="15">
        <f>SUM(C42:D42)</f>
        <v>190</v>
      </c>
    </row>
    <row r="43" spans="1:5" ht="12.75">
      <c r="A43" s="9"/>
      <c r="B43" s="17" t="s">
        <v>11</v>
      </c>
      <c r="C43" s="40">
        <v>18</v>
      </c>
      <c r="D43" s="14">
        <v>2</v>
      </c>
      <c r="E43" s="15">
        <f>SUM(C43:D43)</f>
        <v>20</v>
      </c>
    </row>
    <row r="44" spans="1:5" ht="12.75">
      <c r="A44" s="9"/>
      <c r="B44" s="17" t="s">
        <v>12</v>
      </c>
      <c r="C44" s="40">
        <v>6</v>
      </c>
      <c r="D44" s="14">
        <v>0</v>
      </c>
      <c r="E44" s="15">
        <f>SUM(C44:D44)</f>
        <v>6</v>
      </c>
    </row>
    <row r="45" spans="1:5" ht="12.75">
      <c r="A45" s="9"/>
      <c r="B45" s="18" t="s">
        <v>99</v>
      </c>
      <c r="C45" s="50">
        <f>SUM(C41:C44)</f>
        <v>671</v>
      </c>
      <c r="D45" s="11">
        <f>SUM(D41:D44)</f>
        <v>186</v>
      </c>
      <c r="E45" s="19">
        <f>SUM(C45:D45)</f>
        <v>857</v>
      </c>
    </row>
    <row r="46" spans="1:5" ht="12.75">
      <c r="A46" s="9"/>
      <c r="B46" s="26" t="s">
        <v>33</v>
      </c>
      <c r="C46" s="40"/>
      <c r="D46" s="14"/>
      <c r="E46" s="15"/>
    </row>
    <row r="47" spans="1:5" ht="12.75">
      <c r="A47" s="9"/>
      <c r="B47" s="17" t="s">
        <v>9</v>
      </c>
      <c r="C47" s="40">
        <v>31</v>
      </c>
      <c r="D47" s="14">
        <f>55+2</f>
        <v>57</v>
      </c>
      <c r="E47" s="15">
        <f aca="true" t="shared" si="1" ref="E47:E52">SUM(C47:D47)</f>
        <v>88</v>
      </c>
    </row>
    <row r="48" spans="1:5" ht="12.75">
      <c r="A48" s="9"/>
      <c r="B48" s="17" t="s">
        <v>10</v>
      </c>
      <c r="C48" s="40">
        <v>9</v>
      </c>
      <c r="D48" s="14"/>
      <c r="E48" s="15">
        <f t="shared" si="1"/>
        <v>9</v>
      </c>
    </row>
    <row r="49" spans="1:5" ht="12.75">
      <c r="A49" s="9"/>
      <c r="B49" s="17" t="s">
        <v>11</v>
      </c>
      <c r="C49" s="40"/>
      <c r="D49" s="14"/>
      <c r="E49" s="15">
        <f t="shared" si="1"/>
        <v>0</v>
      </c>
    </row>
    <row r="50" spans="1:5" ht="12.75" customHeight="1">
      <c r="A50" s="9"/>
      <c r="B50" s="17" t="s">
        <v>12</v>
      </c>
      <c r="C50" s="40"/>
      <c r="D50" s="14"/>
      <c r="E50" s="15">
        <f t="shared" si="1"/>
        <v>0</v>
      </c>
    </row>
    <row r="51" spans="1:5" ht="12.75" customHeight="1">
      <c r="A51" s="9"/>
      <c r="B51" s="18" t="s">
        <v>100</v>
      </c>
      <c r="C51" s="50">
        <f>SUM(C47:C50)</f>
        <v>40</v>
      </c>
      <c r="D51" s="11">
        <f>SUM(D47:D50)</f>
        <v>57</v>
      </c>
      <c r="E51" s="19">
        <f t="shared" si="1"/>
        <v>97</v>
      </c>
    </row>
    <row r="52" spans="1:5" ht="24.75" customHeight="1">
      <c r="A52" s="54" t="s">
        <v>35</v>
      </c>
      <c r="B52" s="55" t="s">
        <v>36</v>
      </c>
      <c r="C52" s="51">
        <f>+C51+C45</f>
        <v>711</v>
      </c>
      <c r="D52" s="20">
        <f>+D51+D45</f>
        <v>243</v>
      </c>
      <c r="E52" s="12">
        <f t="shared" si="1"/>
        <v>954</v>
      </c>
    </row>
    <row r="53" spans="1:5" ht="12.75">
      <c r="A53" s="9"/>
      <c r="B53" s="10"/>
      <c r="C53" s="40"/>
      <c r="D53" s="14"/>
      <c r="E53" s="15"/>
    </row>
    <row r="54" spans="1:5" ht="12.75">
      <c r="A54" s="9"/>
      <c r="B54" s="10" t="s">
        <v>37</v>
      </c>
      <c r="C54" s="40"/>
      <c r="D54" s="14"/>
      <c r="E54" s="15"/>
    </row>
    <row r="55" spans="1:5" ht="12.75">
      <c r="A55" s="9"/>
      <c r="B55" s="17" t="s">
        <v>9</v>
      </c>
      <c r="C55" s="40">
        <v>16</v>
      </c>
      <c r="D55" s="14">
        <v>10</v>
      </c>
      <c r="E55" s="15">
        <f>SUM(C55:D55)</f>
        <v>26</v>
      </c>
    </row>
    <row r="56" spans="1:5" ht="12.75">
      <c r="A56" s="9"/>
      <c r="B56" s="17" t="s">
        <v>10</v>
      </c>
      <c r="C56" s="40"/>
      <c r="D56" s="14"/>
      <c r="E56" s="15">
        <f>SUM(C56:D56)</f>
        <v>0</v>
      </c>
    </row>
    <row r="57" spans="1:5" ht="12.75">
      <c r="A57" s="9"/>
      <c r="B57" s="17" t="s">
        <v>11</v>
      </c>
      <c r="C57" s="40"/>
      <c r="D57" s="14"/>
      <c r="E57" s="15">
        <f>SUM(C57:D57)</f>
        <v>0</v>
      </c>
    </row>
    <row r="58" spans="1:5" ht="12.75">
      <c r="A58" s="9"/>
      <c r="B58" s="17" t="s">
        <v>12</v>
      </c>
      <c r="C58" s="40"/>
      <c r="D58" s="14"/>
      <c r="E58" s="15">
        <f>SUM(C58:D58)</f>
        <v>0</v>
      </c>
    </row>
    <row r="59" spans="1:5" ht="12.75">
      <c r="A59" s="54" t="s">
        <v>38</v>
      </c>
      <c r="B59" s="57" t="s">
        <v>101</v>
      </c>
      <c r="C59" s="41">
        <f>SUM(C55:C58)</f>
        <v>16</v>
      </c>
      <c r="D59" s="20">
        <f>SUM(D55:D58)</f>
        <v>10</v>
      </c>
      <c r="E59" s="12">
        <f>SUM(C59:D59)</f>
        <v>26</v>
      </c>
    </row>
    <row r="60" spans="1:5" ht="12.75">
      <c r="A60" s="9"/>
      <c r="B60" s="10"/>
      <c r="C60" s="40"/>
      <c r="D60" s="14"/>
      <c r="E60" s="15"/>
    </row>
    <row r="61" spans="1:5" ht="12.75">
      <c r="A61" s="9"/>
      <c r="B61" s="10" t="s">
        <v>40</v>
      </c>
      <c r="C61" s="40"/>
      <c r="D61" s="14"/>
      <c r="E61" s="15"/>
    </row>
    <row r="62" spans="1:5" ht="12.75">
      <c r="A62" s="9"/>
      <c r="B62" s="17" t="s">
        <v>9</v>
      </c>
      <c r="C62" s="40">
        <v>257</v>
      </c>
      <c r="D62" s="14">
        <v>9</v>
      </c>
      <c r="E62" s="15">
        <f>SUM(C62:D62)</f>
        <v>266</v>
      </c>
    </row>
    <row r="63" spans="1:5" ht="12.75">
      <c r="A63" s="9"/>
      <c r="B63" s="17" t="s">
        <v>10</v>
      </c>
      <c r="C63" s="40">
        <v>14</v>
      </c>
      <c r="D63" s="14">
        <v>1</v>
      </c>
      <c r="E63" s="15">
        <f>SUM(C63:D63)</f>
        <v>15</v>
      </c>
    </row>
    <row r="64" spans="1:5" ht="12.75">
      <c r="A64" s="9"/>
      <c r="B64" s="17" t="s">
        <v>11</v>
      </c>
      <c r="C64" s="40">
        <v>3</v>
      </c>
      <c r="D64" s="14"/>
      <c r="E64" s="15">
        <f>SUM(C64:D64)</f>
        <v>3</v>
      </c>
    </row>
    <row r="65" spans="1:5" ht="12.75">
      <c r="A65" s="9"/>
      <c r="B65" s="17" t="s">
        <v>12</v>
      </c>
      <c r="C65" s="40">
        <v>5</v>
      </c>
      <c r="D65" s="14"/>
      <c r="E65" s="15">
        <f>SUM(C65:D65)</f>
        <v>5</v>
      </c>
    </row>
    <row r="66" spans="1:5" ht="12.75">
      <c r="A66" s="54" t="s">
        <v>41</v>
      </c>
      <c r="B66" s="57" t="s">
        <v>102</v>
      </c>
      <c r="C66" s="41">
        <f>SUM(C62:C65)</f>
        <v>279</v>
      </c>
      <c r="D66" s="20">
        <f>SUM(D62:D65)</f>
        <v>10</v>
      </c>
      <c r="E66" s="12">
        <f>SUM(C66:D66)</f>
        <v>289</v>
      </c>
    </row>
    <row r="67" spans="1:5" ht="12.75">
      <c r="A67" s="9"/>
      <c r="B67" s="10"/>
      <c r="C67" s="40"/>
      <c r="D67" s="14"/>
      <c r="E67" s="15"/>
    </row>
    <row r="68" spans="1:5" ht="12.75">
      <c r="A68" s="9" t="s">
        <v>43</v>
      </c>
      <c r="B68" s="10" t="s">
        <v>44</v>
      </c>
      <c r="C68" s="41">
        <f>142+1</f>
        <v>143</v>
      </c>
      <c r="D68" s="20">
        <v>3</v>
      </c>
      <c r="E68" s="12">
        <f>SUM(C68:D68)</f>
        <v>146</v>
      </c>
    </row>
    <row r="69" spans="1:5" ht="12.75">
      <c r="A69" s="9"/>
      <c r="B69" s="10"/>
      <c r="C69" s="40"/>
      <c r="D69" s="14"/>
      <c r="E69" s="15"/>
    </row>
    <row r="70" spans="1:5" ht="12.75">
      <c r="A70" s="9"/>
      <c r="B70" s="10" t="s">
        <v>45</v>
      </c>
      <c r="C70" s="40"/>
      <c r="D70" s="14"/>
      <c r="E70" s="15"/>
    </row>
    <row r="71" spans="1:5" ht="12.75">
      <c r="A71" s="9" t="s">
        <v>46</v>
      </c>
      <c r="B71" s="25" t="s">
        <v>47</v>
      </c>
      <c r="C71" s="40">
        <v>28</v>
      </c>
      <c r="D71" s="14">
        <v>37</v>
      </c>
      <c r="E71" s="15">
        <f aca="true" t="shared" si="2" ref="E71:E77">SUM(C71:D71)</f>
        <v>65</v>
      </c>
    </row>
    <row r="72" spans="1:5" ht="12.75">
      <c r="A72" s="9" t="s">
        <v>48</v>
      </c>
      <c r="B72" s="25" t="s">
        <v>49</v>
      </c>
      <c r="C72" s="40">
        <v>189</v>
      </c>
      <c r="D72" s="14">
        <v>195</v>
      </c>
      <c r="E72" s="15">
        <f t="shared" si="2"/>
        <v>384</v>
      </c>
    </row>
    <row r="73" spans="1:5" ht="12.75">
      <c r="A73" s="9" t="s">
        <v>50</v>
      </c>
      <c r="B73" s="25" t="s">
        <v>51</v>
      </c>
      <c r="C73" s="40">
        <v>142</v>
      </c>
      <c r="D73" s="14">
        <v>243</v>
      </c>
      <c r="E73" s="15">
        <f t="shared" si="2"/>
        <v>385</v>
      </c>
    </row>
    <row r="74" spans="1:5" ht="12.75">
      <c r="A74" s="9" t="s">
        <v>52</v>
      </c>
      <c r="B74" s="25" t="s">
        <v>53</v>
      </c>
      <c r="C74" s="40">
        <f>588+6</f>
        <v>594</v>
      </c>
      <c r="D74" s="14">
        <f>744+5</f>
        <v>749</v>
      </c>
      <c r="E74" s="15">
        <f t="shared" si="2"/>
        <v>1343</v>
      </c>
    </row>
    <row r="75" spans="1:5" ht="12.75">
      <c r="A75" s="9" t="s">
        <v>54</v>
      </c>
      <c r="B75" s="25" t="s">
        <v>55</v>
      </c>
      <c r="C75" s="41">
        <f>SUM(C71:C74)</f>
        <v>953</v>
      </c>
      <c r="D75" s="20">
        <f>SUM(D71:D74)</f>
        <v>1224</v>
      </c>
      <c r="E75" s="12">
        <f t="shared" si="2"/>
        <v>2177</v>
      </c>
    </row>
    <row r="76" spans="1:5" ht="12.75">
      <c r="A76" s="21" t="s">
        <v>56</v>
      </c>
      <c r="B76" s="22" t="s">
        <v>27</v>
      </c>
      <c r="C76" s="42">
        <f>+C36</f>
        <v>92</v>
      </c>
      <c r="D76" s="24">
        <f>+D36</f>
        <v>13</v>
      </c>
      <c r="E76" s="34">
        <f t="shared" si="2"/>
        <v>105</v>
      </c>
    </row>
    <row r="77" spans="1:5" ht="12.75">
      <c r="A77" s="9" t="s">
        <v>57</v>
      </c>
      <c r="B77" s="10" t="s">
        <v>58</v>
      </c>
      <c r="C77" s="41">
        <f>C75-C76</f>
        <v>861</v>
      </c>
      <c r="D77" s="20">
        <f>D75-D76</f>
        <v>1211</v>
      </c>
      <c r="E77" s="12">
        <f t="shared" si="2"/>
        <v>2072</v>
      </c>
    </row>
    <row r="78" spans="1:5" ht="12.75">
      <c r="A78" s="9"/>
      <c r="B78" s="10"/>
      <c r="C78" s="40"/>
      <c r="D78" s="14"/>
      <c r="E78" s="15"/>
    </row>
    <row r="79" spans="1:5" ht="24">
      <c r="A79" s="9" t="s">
        <v>59</v>
      </c>
      <c r="B79" s="10" t="s">
        <v>60</v>
      </c>
      <c r="C79" s="41">
        <f>C52+C59+C66+C68+C77</f>
        <v>2010</v>
      </c>
      <c r="D79" s="20">
        <f>D52+D59+D66+D68+D77</f>
        <v>1477</v>
      </c>
      <c r="E79" s="12">
        <f>SUM(C79:D79)</f>
        <v>3487</v>
      </c>
    </row>
    <row r="80" spans="1:5" ht="12.75">
      <c r="A80" s="9"/>
      <c r="B80" s="27"/>
      <c r="C80" s="40"/>
      <c r="D80" s="14"/>
      <c r="E80" s="15"/>
    </row>
    <row r="81" spans="1:5" ht="12.75">
      <c r="A81" s="9" t="s">
        <v>61</v>
      </c>
      <c r="B81" s="10" t="s">
        <v>62</v>
      </c>
      <c r="C81" s="41">
        <f>23+3</f>
        <v>26</v>
      </c>
      <c r="D81" s="20">
        <f>9+3</f>
        <v>12</v>
      </c>
      <c r="E81" s="12">
        <f>SUM(C81:D81)</f>
        <v>38</v>
      </c>
    </row>
    <row r="82" spans="1:5" ht="12.75">
      <c r="A82" s="9"/>
      <c r="B82" s="27"/>
      <c r="C82" s="40"/>
      <c r="D82" s="14"/>
      <c r="E82" s="15"/>
    </row>
    <row r="83" spans="1:5" ht="24">
      <c r="A83" s="9" t="s">
        <v>63</v>
      </c>
      <c r="B83" s="10" t="s">
        <v>64</v>
      </c>
      <c r="C83" s="41">
        <f>C79+C81</f>
        <v>2036</v>
      </c>
      <c r="D83" s="20">
        <f>D79+D81</f>
        <v>1489</v>
      </c>
      <c r="E83" s="12">
        <f>SUM(C83:D83)</f>
        <v>3525</v>
      </c>
    </row>
    <row r="84" spans="1:5" ht="12.75">
      <c r="A84" s="9"/>
      <c r="B84" s="27"/>
      <c r="C84" s="40"/>
      <c r="D84" s="14"/>
      <c r="E84" s="15"/>
    </row>
    <row r="85" spans="1:5" ht="13.5" thickBot="1">
      <c r="A85" s="28" t="s">
        <v>65</v>
      </c>
      <c r="B85" s="29" t="s">
        <v>66</v>
      </c>
      <c r="C85" s="52">
        <f>+C8+C37-C83</f>
        <v>593</v>
      </c>
      <c r="D85" s="53">
        <f>+D8+D37-D83</f>
        <v>798</v>
      </c>
      <c r="E85" s="30">
        <f>SUM(C85:D85)</f>
        <v>1391</v>
      </c>
    </row>
    <row r="86" spans="1:5" ht="30" customHeight="1">
      <c r="A86" s="69" t="s">
        <v>67</v>
      </c>
      <c r="B86" s="70"/>
      <c r="C86" s="35">
        <f>(C8+C35)-(C76+C83)</f>
        <v>593</v>
      </c>
      <c r="D86" s="35">
        <f>(D8+D35)-(D76+D83)</f>
        <v>798</v>
      </c>
      <c r="E86" s="35">
        <f>(E8+E35)-(E76+E83)</f>
        <v>1391</v>
      </c>
    </row>
    <row r="87" spans="1:5" ht="42.75" customHeight="1">
      <c r="A87" s="67" t="s">
        <v>68</v>
      </c>
      <c r="B87" s="68"/>
      <c r="C87" s="68"/>
      <c r="D87" s="68"/>
      <c r="E87" s="68"/>
    </row>
    <row r="88" spans="1:5" ht="12.75">
      <c r="A88" s="36"/>
      <c r="B88" s="37"/>
      <c r="C88" s="37"/>
      <c r="D88" s="37"/>
      <c r="E88" s="37"/>
    </row>
    <row r="89" spans="1:5" ht="15" customHeight="1">
      <c r="A89" s="62" t="s">
        <v>69</v>
      </c>
      <c r="B89" s="63"/>
      <c r="C89" s="63"/>
      <c r="D89" s="63"/>
      <c r="E89" s="63"/>
    </row>
    <row r="90" ht="12.75">
      <c r="A90" s="31"/>
    </row>
    <row r="91" spans="1:5" ht="45.75" customHeight="1">
      <c r="A91" s="58" t="s">
        <v>70</v>
      </c>
      <c r="B91" s="59"/>
      <c r="C91" s="59"/>
      <c r="D91" s="59"/>
      <c r="E91" s="59"/>
    </row>
    <row r="92" ht="15" customHeight="1">
      <c r="A92" s="32"/>
    </row>
    <row r="93" ht="15.75">
      <c r="A93" s="33" t="s">
        <v>91</v>
      </c>
    </row>
  </sheetData>
  <sheetProtection/>
  <mergeCells count="6">
    <mergeCell ref="A91:E91"/>
    <mergeCell ref="A1:E1"/>
    <mergeCell ref="A89:E89"/>
    <mergeCell ref="C6:E6"/>
    <mergeCell ref="A87:E87"/>
    <mergeCell ref="A86:B86"/>
  </mergeCells>
  <printOptions/>
  <pageMargins left="0.25" right="0.25" top="0.8" bottom="0.33" header="0.48" footer="0.21"/>
  <pageSetup fitToHeight="1" fitToWidth="1" horizontalDpi="600" verticalDpi="600" orientation="portrait" paperSize="5" scale="82"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1">
      <selection activeCell="C19" sqref="C19"/>
    </sheetView>
  </sheetViews>
  <sheetFormatPr defaultColWidth="8.8515625" defaultRowHeight="12.75"/>
  <cols>
    <col min="1" max="1" width="2.8515625" style="0" customWidth="1"/>
    <col min="2" max="2" width="69.8515625" style="0" customWidth="1"/>
  </cols>
  <sheetData>
    <row r="1" spans="1:5" ht="18">
      <c r="A1" s="60" t="s">
        <v>71</v>
      </c>
      <c r="B1" s="61"/>
      <c r="C1" s="61"/>
      <c r="D1" s="61"/>
      <c r="E1" s="61"/>
    </row>
    <row r="2" ht="15.75">
      <c r="A2" s="2" t="s">
        <v>0</v>
      </c>
    </row>
    <row r="3" ht="15.75">
      <c r="A3" s="2" t="s">
        <v>1</v>
      </c>
    </row>
    <row r="4" ht="15.75">
      <c r="A4" s="44" t="str">
        <f>+'Jan '!A4</f>
        <v>YEAR: 1/1/2010 - 12/31/2010</v>
      </c>
    </row>
    <row r="5" ht="13.5" thickBot="1">
      <c r="A5" s="3"/>
    </row>
    <row r="6" spans="1:5" ht="13.5" thickBot="1">
      <c r="A6" s="4"/>
      <c r="B6" s="5" t="str">
        <f>+'Jan '!B6</f>
        <v>NAME OF ORGANIZATION:  Miami Dade Coalition</v>
      </c>
      <c r="C6" s="64" t="s">
        <v>81</v>
      </c>
      <c r="D6" s="65"/>
      <c r="E6" s="66"/>
    </row>
    <row r="7" spans="1:5" ht="12.75">
      <c r="A7" s="4"/>
      <c r="B7" s="6"/>
      <c r="C7" s="38" t="s">
        <v>2</v>
      </c>
      <c r="D7" s="7" t="s">
        <v>3</v>
      </c>
      <c r="E7" s="8" t="s">
        <v>4</v>
      </c>
    </row>
    <row r="8" spans="1:5" ht="12.75">
      <c r="A8" s="9" t="s">
        <v>5</v>
      </c>
      <c r="B8" s="10" t="s">
        <v>6</v>
      </c>
      <c r="C8" s="39">
        <f>+'Jul '!C85</f>
        <v>593</v>
      </c>
      <c r="D8" s="11">
        <f>+'Jul '!D85</f>
        <v>798</v>
      </c>
      <c r="E8" s="12">
        <f>SUM(C8:D8)</f>
        <v>1391</v>
      </c>
    </row>
    <row r="9" spans="1:5" ht="12.75">
      <c r="A9" s="9"/>
      <c r="B9" s="10"/>
      <c r="C9" s="40"/>
      <c r="D9" s="14"/>
      <c r="E9" s="12"/>
    </row>
    <row r="10" spans="1:5" ht="12.75">
      <c r="A10" s="9"/>
      <c r="B10" s="10" t="s">
        <v>7</v>
      </c>
      <c r="C10" s="40"/>
      <c r="D10" s="14"/>
      <c r="E10" s="15"/>
    </row>
    <row r="11" spans="1:5" ht="12.75">
      <c r="A11" s="9"/>
      <c r="B11" s="16" t="s">
        <v>8</v>
      </c>
      <c r="C11" s="40"/>
      <c r="D11" s="14"/>
      <c r="E11" s="15"/>
    </row>
    <row r="12" spans="1:5" ht="12.75">
      <c r="A12" s="9"/>
      <c r="B12" s="17" t="s">
        <v>9</v>
      </c>
      <c r="C12" s="40">
        <f>853+65+26</f>
        <v>944</v>
      </c>
      <c r="D12" s="14">
        <f>573+51+30</f>
        <v>654</v>
      </c>
      <c r="E12" s="15">
        <f>SUM(C12:D12)</f>
        <v>1598</v>
      </c>
    </row>
    <row r="13" spans="1:5" ht="12.75">
      <c r="A13" s="9"/>
      <c r="B13" s="17" t="s">
        <v>10</v>
      </c>
      <c r="C13" s="40">
        <f>127+13</f>
        <v>140</v>
      </c>
      <c r="D13" s="14">
        <v>285</v>
      </c>
      <c r="E13" s="15">
        <f>SUM(C13:D13)</f>
        <v>425</v>
      </c>
    </row>
    <row r="14" spans="1:5" ht="12.75">
      <c r="A14" s="9"/>
      <c r="B14" s="17" t="s">
        <v>11</v>
      </c>
      <c r="C14" s="40">
        <v>235</v>
      </c>
      <c r="D14" s="14">
        <v>286</v>
      </c>
      <c r="E14" s="15">
        <f>SUM(C14:D14)</f>
        <v>521</v>
      </c>
    </row>
    <row r="15" spans="1:5" ht="12.75">
      <c r="A15" s="9"/>
      <c r="B15" s="17" t="s">
        <v>12</v>
      </c>
      <c r="C15" s="40">
        <v>599</v>
      </c>
      <c r="D15" s="14">
        <v>289</v>
      </c>
      <c r="E15" s="15">
        <f>SUM(C15:D15)</f>
        <v>888</v>
      </c>
    </row>
    <row r="16" spans="1:5" ht="12.75">
      <c r="A16" s="9" t="s">
        <v>13</v>
      </c>
      <c r="B16" s="18" t="s">
        <v>14</v>
      </c>
      <c r="C16" s="50">
        <f>SUM(C12:C15)</f>
        <v>1918</v>
      </c>
      <c r="D16" s="11">
        <f>SUM(D12:D15)</f>
        <v>1514</v>
      </c>
      <c r="E16" s="19">
        <f>SUM(C16:D16)</f>
        <v>3432</v>
      </c>
    </row>
    <row r="17" spans="1:5" ht="12.75">
      <c r="A17" s="9"/>
      <c r="B17" s="16" t="s">
        <v>15</v>
      </c>
      <c r="C17" s="40"/>
      <c r="D17" s="14"/>
      <c r="E17" s="15"/>
    </row>
    <row r="18" spans="1:5" ht="12.75">
      <c r="A18" s="9"/>
      <c r="B18" s="17" t="s">
        <v>9</v>
      </c>
      <c r="C18" s="40">
        <v>19</v>
      </c>
      <c r="D18" s="14">
        <v>11</v>
      </c>
      <c r="E18" s="15">
        <f>SUM(C18:D18)</f>
        <v>30</v>
      </c>
    </row>
    <row r="19" spans="1:5" ht="12.75">
      <c r="A19" s="9"/>
      <c r="B19" s="17" t="s">
        <v>10</v>
      </c>
      <c r="C19" s="40"/>
      <c r="D19" s="14"/>
      <c r="E19" s="15">
        <f>SUM(C19:D19)</f>
        <v>0</v>
      </c>
    </row>
    <row r="20" spans="1:5" ht="12.75">
      <c r="A20" s="9"/>
      <c r="B20" s="17" t="s">
        <v>11</v>
      </c>
      <c r="C20" s="40"/>
      <c r="D20" s="14"/>
      <c r="E20" s="15">
        <f>SUM(C20:D20)</f>
        <v>0</v>
      </c>
    </row>
    <row r="21" spans="1:5" ht="12.75">
      <c r="A21" s="9"/>
      <c r="B21" s="17" t="s">
        <v>12</v>
      </c>
      <c r="C21" s="40"/>
      <c r="D21" s="14"/>
      <c r="E21" s="15">
        <f>SUM(C21:D21)</f>
        <v>0</v>
      </c>
    </row>
    <row r="22" spans="1:5" ht="12.75">
      <c r="A22" s="9" t="s">
        <v>16</v>
      </c>
      <c r="B22" s="18" t="s">
        <v>95</v>
      </c>
      <c r="C22" s="50">
        <f>SUM(C17:C21)</f>
        <v>19</v>
      </c>
      <c r="D22" s="11">
        <f>SUM(D17:D21)</f>
        <v>11</v>
      </c>
      <c r="E22" s="19">
        <f>SUM(C22:D22)</f>
        <v>30</v>
      </c>
    </row>
    <row r="23" spans="1:5" ht="12.75">
      <c r="A23" s="9"/>
      <c r="B23" s="16" t="s">
        <v>18</v>
      </c>
      <c r="C23" s="40"/>
      <c r="D23" s="14"/>
      <c r="E23" s="15"/>
    </row>
    <row r="24" spans="1:5" ht="12.75">
      <c r="A24" s="9"/>
      <c r="B24" s="17" t="s">
        <v>9</v>
      </c>
      <c r="C24" s="40"/>
      <c r="D24" s="14">
        <v>1</v>
      </c>
      <c r="E24" s="15">
        <f>SUM(C24:D24)</f>
        <v>1</v>
      </c>
    </row>
    <row r="25" spans="1:5" ht="12.75">
      <c r="A25" s="9"/>
      <c r="B25" s="17" t="s">
        <v>10</v>
      </c>
      <c r="C25" s="40"/>
      <c r="D25" s="14"/>
      <c r="E25" s="15">
        <f>SUM(C25:D25)</f>
        <v>0</v>
      </c>
    </row>
    <row r="26" spans="1:5" ht="12.75">
      <c r="A26" s="9"/>
      <c r="B26" s="17" t="s">
        <v>11</v>
      </c>
      <c r="C26" s="40"/>
      <c r="D26" s="14"/>
      <c r="E26" s="15">
        <f>SUM(C26:D26)</f>
        <v>0</v>
      </c>
    </row>
    <row r="27" spans="1:5" ht="12.75">
      <c r="A27" s="9"/>
      <c r="B27" s="17" t="s">
        <v>12</v>
      </c>
      <c r="C27" s="40"/>
      <c r="D27" s="14"/>
      <c r="E27" s="15">
        <f>SUM(C27:D27)</f>
        <v>0</v>
      </c>
    </row>
    <row r="28" spans="1:5" ht="12.75">
      <c r="A28" s="9" t="s">
        <v>19</v>
      </c>
      <c r="B28" s="18" t="s">
        <v>96</v>
      </c>
      <c r="C28" s="39">
        <f>SUM(C24:C27)</f>
        <v>0</v>
      </c>
      <c r="D28" s="11">
        <f>SUM(D24:D27)</f>
        <v>1</v>
      </c>
      <c r="E28" s="19">
        <f>SUM(C28:D28)</f>
        <v>1</v>
      </c>
    </row>
    <row r="29" spans="1:5" ht="12.75">
      <c r="A29" s="9"/>
      <c r="B29" s="16" t="s">
        <v>21</v>
      </c>
      <c r="C29" s="40"/>
      <c r="D29" s="14"/>
      <c r="E29" s="15"/>
    </row>
    <row r="30" spans="1:5" ht="12.75">
      <c r="A30" s="9"/>
      <c r="B30" s="17" t="s">
        <v>9</v>
      </c>
      <c r="C30" s="40">
        <v>1</v>
      </c>
      <c r="D30" s="14"/>
      <c r="E30" s="15">
        <f aca="true" t="shared" si="0" ref="E30:E37">SUM(C30:D30)</f>
        <v>1</v>
      </c>
    </row>
    <row r="31" spans="1:5" ht="12.75">
      <c r="A31" s="9"/>
      <c r="B31" s="17" t="s">
        <v>10</v>
      </c>
      <c r="C31" s="40"/>
      <c r="D31" s="14"/>
      <c r="E31" s="15">
        <f t="shared" si="0"/>
        <v>0</v>
      </c>
    </row>
    <row r="32" spans="1:5" ht="12.75">
      <c r="A32" s="9"/>
      <c r="B32" s="17" t="s">
        <v>11</v>
      </c>
      <c r="C32" s="40"/>
      <c r="D32" s="14"/>
      <c r="E32" s="15">
        <f t="shared" si="0"/>
        <v>0</v>
      </c>
    </row>
    <row r="33" spans="1:5" ht="12.75">
      <c r="A33" s="9"/>
      <c r="B33" s="17" t="s">
        <v>12</v>
      </c>
      <c r="C33" s="40">
        <v>95</v>
      </c>
      <c r="D33" s="14">
        <v>13</v>
      </c>
      <c r="E33" s="15">
        <f t="shared" si="0"/>
        <v>108</v>
      </c>
    </row>
    <row r="34" spans="1:5" ht="12.75">
      <c r="A34" s="9" t="s">
        <v>22</v>
      </c>
      <c r="B34" s="18" t="s">
        <v>23</v>
      </c>
      <c r="C34" s="39">
        <f>SUM(C30:C33)</f>
        <v>96</v>
      </c>
      <c r="D34" s="11">
        <f>SUM(D30:D33)</f>
        <v>13</v>
      </c>
      <c r="E34" s="19">
        <f t="shared" si="0"/>
        <v>109</v>
      </c>
    </row>
    <row r="35" spans="1:5" ht="15">
      <c r="A35" s="9" t="s">
        <v>24</v>
      </c>
      <c r="B35" s="46" t="s">
        <v>97</v>
      </c>
      <c r="C35" s="47">
        <f>C16+C22+C28+C34</f>
        <v>2033</v>
      </c>
      <c r="D35" s="48">
        <f>D16+D22+D28+D34</f>
        <v>1539</v>
      </c>
      <c r="E35" s="49">
        <f t="shared" si="0"/>
        <v>3572</v>
      </c>
    </row>
    <row r="36" spans="1:5" ht="12.75">
      <c r="A36" s="21" t="s">
        <v>26</v>
      </c>
      <c r="B36" s="22" t="s">
        <v>27</v>
      </c>
      <c r="C36" s="42">
        <f>+C33</f>
        <v>95</v>
      </c>
      <c r="D36" s="24">
        <f>+D33</f>
        <v>13</v>
      </c>
      <c r="E36" s="34">
        <f t="shared" si="0"/>
        <v>108</v>
      </c>
    </row>
    <row r="37" spans="1:5" ht="15">
      <c r="A37" s="9" t="s">
        <v>28</v>
      </c>
      <c r="B37" s="46" t="s">
        <v>98</v>
      </c>
      <c r="C37" s="47">
        <f>C35-C36</f>
        <v>1938</v>
      </c>
      <c r="D37" s="48">
        <f>D35-D36</f>
        <v>1526</v>
      </c>
      <c r="E37" s="49">
        <f t="shared" si="0"/>
        <v>3464</v>
      </c>
    </row>
    <row r="38" spans="1:5" ht="12.75">
      <c r="A38" s="9"/>
      <c r="B38" s="25"/>
      <c r="C38" s="40"/>
      <c r="D38" s="14"/>
      <c r="E38" s="15"/>
    </row>
    <row r="39" spans="1:5" ht="12.75">
      <c r="A39" s="9"/>
      <c r="B39" s="10" t="s">
        <v>30</v>
      </c>
      <c r="C39" s="40"/>
      <c r="D39" s="14"/>
      <c r="E39" s="15"/>
    </row>
    <row r="40" spans="1:5" ht="12.75">
      <c r="A40" s="9"/>
      <c r="B40" s="26" t="s">
        <v>31</v>
      </c>
      <c r="C40" s="40"/>
      <c r="D40" s="14"/>
      <c r="E40" s="15"/>
    </row>
    <row r="41" spans="1:5" ht="12.75">
      <c r="A41" s="9"/>
      <c r="B41" s="17" t="s">
        <v>9</v>
      </c>
      <c r="C41" s="40">
        <f>397+62</f>
        <v>459</v>
      </c>
      <c r="D41" s="14">
        <f>146+39</f>
        <v>185</v>
      </c>
      <c r="E41" s="15">
        <f>SUM(C41:D41)</f>
        <v>644</v>
      </c>
    </row>
    <row r="42" spans="1:5" ht="12.75">
      <c r="A42" s="9"/>
      <c r="B42" s="17" t="s">
        <v>10</v>
      </c>
      <c r="C42" s="40">
        <v>180</v>
      </c>
      <c r="D42" s="14">
        <v>13</v>
      </c>
      <c r="E42" s="15">
        <f>SUM(C42:D42)</f>
        <v>193</v>
      </c>
    </row>
    <row r="43" spans="1:5" ht="12.75">
      <c r="A43" s="9"/>
      <c r="B43" s="17" t="s">
        <v>11</v>
      </c>
      <c r="C43" s="40">
        <v>18</v>
      </c>
      <c r="D43" s="14">
        <v>3</v>
      </c>
      <c r="E43" s="15">
        <f>SUM(C43:D43)</f>
        <v>21</v>
      </c>
    </row>
    <row r="44" spans="1:5" ht="12.75">
      <c r="A44" s="9"/>
      <c r="B44" s="17" t="s">
        <v>12</v>
      </c>
      <c r="C44" s="40">
        <v>6</v>
      </c>
      <c r="D44" s="14">
        <v>0</v>
      </c>
      <c r="E44" s="15">
        <f>SUM(C44:D44)</f>
        <v>6</v>
      </c>
    </row>
    <row r="45" spans="1:5" ht="12.75">
      <c r="A45" s="9"/>
      <c r="B45" s="18" t="s">
        <v>99</v>
      </c>
      <c r="C45" s="50">
        <f>SUM(C41:C44)</f>
        <v>663</v>
      </c>
      <c r="D45" s="11">
        <f>SUM(D41:D44)</f>
        <v>201</v>
      </c>
      <c r="E45" s="19">
        <f>SUM(C45:D45)</f>
        <v>864</v>
      </c>
    </row>
    <row r="46" spans="1:5" ht="12.75">
      <c r="A46" s="9"/>
      <c r="B46" s="26" t="s">
        <v>33</v>
      </c>
      <c r="C46" s="40"/>
      <c r="D46" s="14"/>
      <c r="E46" s="15"/>
    </row>
    <row r="47" spans="1:5" ht="12.75">
      <c r="A47" s="9"/>
      <c r="B47" s="17" t="s">
        <v>9</v>
      </c>
      <c r="C47" s="40">
        <v>25</v>
      </c>
      <c r="D47" s="14">
        <v>59</v>
      </c>
      <c r="E47" s="15">
        <f aca="true" t="shared" si="1" ref="E47:E52">SUM(C47:D47)</f>
        <v>84</v>
      </c>
    </row>
    <row r="48" spans="1:5" ht="12.75">
      <c r="A48" s="9"/>
      <c r="B48" s="17" t="s">
        <v>10</v>
      </c>
      <c r="C48" s="40">
        <v>12</v>
      </c>
      <c r="D48" s="14"/>
      <c r="E48" s="15">
        <f t="shared" si="1"/>
        <v>12</v>
      </c>
    </row>
    <row r="49" spans="1:5" ht="12.75">
      <c r="A49" s="9"/>
      <c r="B49" s="17" t="s">
        <v>11</v>
      </c>
      <c r="C49" s="40"/>
      <c r="D49" s="14"/>
      <c r="E49" s="15">
        <f t="shared" si="1"/>
        <v>0</v>
      </c>
    </row>
    <row r="50" spans="1:5" ht="12.75">
      <c r="A50" s="9"/>
      <c r="B50" s="17" t="s">
        <v>12</v>
      </c>
      <c r="C50" s="40"/>
      <c r="D50" s="14"/>
      <c r="E50" s="15">
        <f t="shared" si="1"/>
        <v>0</v>
      </c>
    </row>
    <row r="51" spans="1:5" ht="24">
      <c r="A51" s="9"/>
      <c r="B51" s="18" t="s">
        <v>100</v>
      </c>
      <c r="C51" s="50">
        <f>SUM(C47:C50)</f>
        <v>37</v>
      </c>
      <c r="D51" s="11">
        <f>SUM(D47:D50)</f>
        <v>59</v>
      </c>
      <c r="E51" s="19">
        <f t="shared" si="1"/>
        <v>96</v>
      </c>
    </row>
    <row r="52" spans="1:5" ht="12.75">
      <c r="A52" s="54" t="s">
        <v>35</v>
      </c>
      <c r="B52" s="55" t="s">
        <v>36</v>
      </c>
      <c r="C52" s="51">
        <f>+C51+C45</f>
        <v>700</v>
      </c>
      <c r="D52" s="20">
        <f>+D51+D45</f>
        <v>260</v>
      </c>
      <c r="E52" s="12">
        <f t="shared" si="1"/>
        <v>960</v>
      </c>
    </row>
    <row r="53" spans="1:5" ht="12.75">
      <c r="A53" s="9"/>
      <c r="B53" s="10"/>
      <c r="C53" s="40"/>
      <c r="D53" s="14"/>
      <c r="E53" s="15"/>
    </row>
    <row r="54" spans="1:5" ht="12.75">
      <c r="A54" s="9"/>
      <c r="B54" s="10" t="s">
        <v>37</v>
      </c>
      <c r="C54" s="40"/>
      <c r="D54" s="14"/>
      <c r="E54" s="15"/>
    </row>
    <row r="55" spans="1:5" ht="12.75">
      <c r="A55" s="9"/>
      <c r="B55" s="17" t="s">
        <v>9</v>
      </c>
      <c r="C55" s="40">
        <v>19</v>
      </c>
      <c r="D55" s="14">
        <v>11</v>
      </c>
      <c r="E55" s="15">
        <f>SUM(C55:D55)</f>
        <v>30</v>
      </c>
    </row>
    <row r="56" spans="1:5" ht="12.75">
      <c r="A56" s="9"/>
      <c r="B56" s="17" t="s">
        <v>10</v>
      </c>
      <c r="C56" s="40"/>
      <c r="D56" s="14"/>
      <c r="E56" s="15">
        <f>SUM(C56:D56)</f>
        <v>0</v>
      </c>
    </row>
    <row r="57" spans="1:5" ht="12.75">
      <c r="A57" s="9"/>
      <c r="B57" s="17" t="s">
        <v>11</v>
      </c>
      <c r="C57" s="40"/>
      <c r="D57" s="14"/>
      <c r="E57" s="15">
        <f>SUM(C57:D57)</f>
        <v>0</v>
      </c>
    </row>
    <row r="58" spans="1:5" ht="12.75">
      <c r="A58" s="9"/>
      <c r="B58" s="17" t="s">
        <v>12</v>
      </c>
      <c r="C58" s="40"/>
      <c r="D58" s="14"/>
      <c r="E58" s="15">
        <f>SUM(C58:D58)</f>
        <v>0</v>
      </c>
    </row>
    <row r="59" spans="1:5" ht="12.75">
      <c r="A59" s="54" t="s">
        <v>38</v>
      </c>
      <c r="B59" s="57" t="s">
        <v>101</v>
      </c>
      <c r="C59" s="41">
        <f>SUM(C55:C58)</f>
        <v>19</v>
      </c>
      <c r="D59" s="20">
        <f>SUM(D55:D58)</f>
        <v>11</v>
      </c>
      <c r="E59" s="12">
        <f>SUM(C59:D59)</f>
        <v>30</v>
      </c>
    </row>
    <row r="60" spans="1:5" ht="12.75">
      <c r="A60" s="9"/>
      <c r="B60" s="10"/>
      <c r="C60" s="40"/>
      <c r="D60" s="14"/>
      <c r="E60" s="15"/>
    </row>
    <row r="61" spans="1:5" ht="12.75">
      <c r="A61" s="9"/>
      <c r="B61" s="10" t="s">
        <v>40</v>
      </c>
      <c r="C61" s="40"/>
      <c r="D61" s="14"/>
      <c r="E61" s="15"/>
    </row>
    <row r="62" spans="1:5" ht="12.75">
      <c r="A62" s="9"/>
      <c r="B62" s="17" t="s">
        <v>9</v>
      </c>
      <c r="C62" s="40">
        <v>228</v>
      </c>
      <c r="D62" s="14">
        <v>17</v>
      </c>
      <c r="E62" s="15">
        <f>SUM(C62:D62)</f>
        <v>245</v>
      </c>
    </row>
    <row r="63" spans="1:5" ht="12.75">
      <c r="A63" s="9"/>
      <c r="B63" s="17" t="s">
        <v>10</v>
      </c>
      <c r="C63" s="40">
        <v>13</v>
      </c>
      <c r="D63" s="14">
        <v>1</v>
      </c>
      <c r="E63" s="15">
        <f>SUM(C63:D63)</f>
        <v>14</v>
      </c>
    </row>
    <row r="64" spans="1:5" ht="12.75">
      <c r="A64" s="9"/>
      <c r="B64" s="17" t="s">
        <v>11</v>
      </c>
      <c r="C64" s="40">
        <v>2</v>
      </c>
      <c r="D64" s="14">
        <v>0</v>
      </c>
      <c r="E64" s="15">
        <f>SUM(C64:D64)</f>
        <v>2</v>
      </c>
    </row>
    <row r="65" spans="1:5" ht="12.75">
      <c r="A65" s="9"/>
      <c r="B65" s="17" t="s">
        <v>12</v>
      </c>
      <c r="C65" s="40">
        <v>5</v>
      </c>
      <c r="D65" s="14">
        <v>0</v>
      </c>
      <c r="E65" s="15">
        <f>SUM(C65:D65)</f>
        <v>5</v>
      </c>
    </row>
    <row r="66" spans="1:5" ht="12.75">
      <c r="A66" s="54" t="s">
        <v>41</v>
      </c>
      <c r="B66" s="57" t="s">
        <v>102</v>
      </c>
      <c r="C66" s="41">
        <f>SUM(C62:C65)</f>
        <v>248</v>
      </c>
      <c r="D66" s="20">
        <f>SUM(D62:D65)</f>
        <v>18</v>
      </c>
      <c r="E66" s="12">
        <f>SUM(C66:D66)</f>
        <v>266</v>
      </c>
    </row>
    <row r="67" spans="1:5" ht="12.75">
      <c r="A67" s="9"/>
      <c r="B67" s="10"/>
      <c r="C67" s="40"/>
      <c r="D67" s="14"/>
      <c r="E67" s="15"/>
    </row>
    <row r="68" spans="1:5" ht="12.75">
      <c r="A68" s="9" t="s">
        <v>43</v>
      </c>
      <c r="B68" s="10" t="s">
        <v>44</v>
      </c>
      <c r="C68" s="41">
        <f>123+2</f>
        <v>125</v>
      </c>
      <c r="D68" s="20">
        <f>8+1</f>
        <v>9</v>
      </c>
      <c r="E68" s="12">
        <f>SUM(C68:D68)</f>
        <v>134</v>
      </c>
    </row>
    <row r="69" spans="1:5" ht="12.75">
      <c r="A69" s="9"/>
      <c r="B69" s="10"/>
      <c r="C69" s="40"/>
      <c r="D69" s="14"/>
      <c r="E69" s="15"/>
    </row>
    <row r="70" spans="1:5" ht="12.75">
      <c r="A70" s="9"/>
      <c r="B70" s="10" t="s">
        <v>45</v>
      </c>
      <c r="C70" s="40"/>
      <c r="D70" s="14"/>
      <c r="E70" s="15"/>
    </row>
    <row r="71" spans="1:5" ht="12.75">
      <c r="A71" s="9" t="s">
        <v>46</v>
      </c>
      <c r="B71" s="25" t="s">
        <v>47</v>
      </c>
      <c r="C71" s="40">
        <v>26</v>
      </c>
      <c r="D71" s="14">
        <v>38</v>
      </c>
      <c r="E71" s="15">
        <f aca="true" t="shared" si="2" ref="E71:E77">SUM(C71:D71)</f>
        <v>64</v>
      </c>
    </row>
    <row r="72" spans="1:5" ht="12.75">
      <c r="A72" s="9" t="s">
        <v>48</v>
      </c>
      <c r="B72" s="25" t="s">
        <v>49</v>
      </c>
      <c r="C72" s="40">
        <v>171</v>
      </c>
      <c r="D72" s="14">
        <v>204</v>
      </c>
      <c r="E72" s="15">
        <f t="shared" si="2"/>
        <v>375</v>
      </c>
    </row>
    <row r="73" spans="1:5" ht="12.75">
      <c r="A73" s="9" t="s">
        <v>50</v>
      </c>
      <c r="B73" s="25" t="s">
        <v>51</v>
      </c>
      <c r="C73" s="40">
        <v>128</v>
      </c>
      <c r="D73" s="14">
        <v>256</v>
      </c>
      <c r="E73" s="15">
        <f t="shared" si="2"/>
        <v>384</v>
      </c>
    </row>
    <row r="74" spans="1:5" ht="12.75">
      <c r="A74" s="9" t="s">
        <v>52</v>
      </c>
      <c r="B74" s="25" t="s">
        <v>53</v>
      </c>
      <c r="C74" s="40">
        <f>529+2</f>
        <v>531</v>
      </c>
      <c r="D74" s="14">
        <f>781+1</f>
        <v>782</v>
      </c>
      <c r="E74" s="15">
        <f t="shared" si="2"/>
        <v>1313</v>
      </c>
    </row>
    <row r="75" spans="1:5" ht="12.75">
      <c r="A75" s="9" t="s">
        <v>54</v>
      </c>
      <c r="B75" s="25" t="s">
        <v>55</v>
      </c>
      <c r="C75" s="41">
        <f>SUM(C71:C74)</f>
        <v>856</v>
      </c>
      <c r="D75" s="20">
        <f>SUM(D71:D74)</f>
        <v>1280</v>
      </c>
      <c r="E75" s="12">
        <f t="shared" si="2"/>
        <v>2136</v>
      </c>
    </row>
    <row r="76" spans="1:5" ht="12.75">
      <c r="A76" s="21" t="s">
        <v>56</v>
      </c>
      <c r="B76" s="22" t="s">
        <v>27</v>
      </c>
      <c r="C76" s="42">
        <f>+C36</f>
        <v>95</v>
      </c>
      <c r="D76" s="24">
        <f>+D36</f>
        <v>13</v>
      </c>
      <c r="E76" s="34">
        <f t="shared" si="2"/>
        <v>108</v>
      </c>
    </row>
    <row r="77" spans="1:5" ht="12.75">
      <c r="A77" s="9" t="s">
        <v>57</v>
      </c>
      <c r="B77" s="10" t="s">
        <v>58</v>
      </c>
      <c r="C77" s="41">
        <f>C75-C76</f>
        <v>761</v>
      </c>
      <c r="D77" s="20">
        <f>D75-D76</f>
        <v>1267</v>
      </c>
      <c r="E77" s="12">
        <f t="shared" si="2"/>
        <v>2028</v>
      </c>
    </row>
    <row r="78" spans="1:5" ht="12.75">
      <c r="A78" s="9"/>
      <c r="B78" s="10"/>
      <c r="C78" s="40"/>
      <c r="D78" s="14"/>
      <c r="E78" s="15"/>
    </row>
    <row r="79" spans="1:5" ht="24">
      <c r="A79" s="9" t="s">
        <v>59</v>
      </c>
      <c r="B79" s="10" t="s">
        <v>60</v>
      </c>
      <c r="C79" s="41">
        <f>C52+C59+C66+C68+C77</f>
        <v>1853</v>
      </c>
      <c r="D79" s="20">
        <f>D52+D59+D66+D68+D77</f>
        <v>1565</v>
      </c>
      <c r="E79" s="12">
        <f>SUM(C79:D79)</f>
        <v>3418</v>
      </c>
    </row>
    <row r="80" spans="1:5" ht="12.75">
      <c r="A80" s="9"/>
      <c r="B80" s="27"/>
      <c r="C80" s="40"/>
      <c r="D80" s="14"/>
      <c r="E80" s="15"/>
    </row>
    <row r="81" spans="1:5" ht="12.75">
      <c r="A81" s="9" t="s">
        <v>61</v>
      </c>
      <c r="B81" s="10" t="s">
        <v>62</v>
      </c>
      <c r="C81" s="41">
        <v>13</v>
      </c>
      <c r="D81" s="20">
        <f>10+2</f>
        <v>12</v>
      </c>
      <c r="E81" s="12">
        <f>SUM(C81:D81)</f>
        <v>25</v>
      </c>
    </row>
    <row r="82" spans="1:5" ht="12.75">
      <c r="A82" s="9"/>
      <c r="B82" s="27"/>
      <c r="C82" s="40"/>
      <c r="D82" s="14"/>
      <c r="E82" s="15"/>
    </row>
    <row r="83" spans="1:5" ht="24">
      <c r="A83" s="9" t="s">
        <v>63</v>
      </c>
      <c r="B83" s="10" t="s">
        <v>64</v>
      </c>
      <c r="C83" s="41">
        <f>C79+C81</f>
        <v>1866</v>
      </c>
      <c r="D83" s="20">
        <f>D79+D81</f>
        <v>1577</v>
      </c>
      <c r="E83" s="12">
        <f>SUM(C83:D83)</f>
        <v>3443</v>
      </c>
    </row>
    <row r="84" spans="1:5" ht="12.75">
      <c r="A84" s="9"/>
      <c r="B84" s="27"/>
      <c r="C84" s="40"/>
      <c r="D84" s="14"/>
      <c r="E84" s="15"/>
    </row>
    <row r="85" spans="1:5" ht="13.5" thickBot="1">
      <c r="A85" s="28" t="s">
        <v>65</v>
      </c>
      <c r="B85" s="29" t="s">
        <v>66</v>
      </c>
      <c r="C85" s="52">
        <f>+C8+C37-C83</f>
        <v>665</v>
      </c>
      <c r="D85" s="53">
        <f>+D8+D37-D83</f>
        <v>747</v>
      </c>
      <c r="E85" s="30">
        <f>SUM(C85:D85)</f>
        <v>1412</v>
      </c>
    </row>
    <row r="86" spans="1:5" ht="30" customHeight="1">
      <c r="A86" s="69" t="s">
        <v>67</v>
      </c>
      <c r="B86" s="70"/>
      <c r="C86" s="35">
        <f>(C8+C35)-(C76+C83)</f>
        <v>665</v>
      </c>
      <c r="D86" s="35">
        <f>(D8+D35)-(D76+D83)</f>
        <v>747</v>
      </c>
      <c r="E86" s="35">
        <f>(E8+E35)-(E76+E83)</f>
        <v>1412</v>
      </c>
    </row>
    <row r="87" spans="1:5" ht="42.75" customHeight="1">
      <c r="A87" s="67" t="s">
        <v>68</v>
      </c>
      <c r="B87" s="68"/>
      <c r="C87" s="68"/>
      <c r="D87" s="68"/>
      <c r="E87" s="68"/>
    </row>
    <row r="88" spans="1:5" ht="12.75">
      <c r="A88" s="36"/>
      <c r="B88" s="37"/>
      <c r="C88" s="37"/>
      <c r="D88" s="37"/>
      <c r="E88" s="37"/>
    </row>
    <row r="89" spans="1:5" ht="15" customHeight="1">
      <c r="A89" s="62" t="s">
        <v>69</v>
      </c>
      <c r="B89" s="63"/>
      <c r="C89" s="63"/>
      <c r="D89" s="63"/>
      <c r="E89" s="63"/>
    </row>
    <row r="90" ht="12.75">
      <c r="A90" s="31"/>
    </row>
    <row r="91" spans="1:5" ht="45.75" customHeight="1">
      <c r="A91" s="58" t="s">
        <v>70</v>
      </c>
      <c r="B91" s="59"/>
      <c r="C91" s="59"/>
      <c r="D91" s="59"/>
      <c r="E91" s="59"/>
    </row>
    <row r="92" ht="15" customHeight="1">
      <c r="A92" s="32"/>
    </row>
    <row r="93" ht="15.75">
      <c r="A93" s="33" t="s">
        <v>91</v>
      </c>
    </row>
  </sheetData>
  <sheetProtection/>
  <mergeCells count="6">
    <mergeCell ref="A91:E91"/>
    <mergeCell ref="A1:E1"/>
    <mergeCell ref="A89:E89"/>
    <mergeCell ref="C6:E6"/>
    <mergeCell ref="A87:E87"/>
    <mergeCell ref="A86:B86"/>
  </mergeCells>
  <printOptions/>
  <pageMargins left="0.25" right="0.25" top="0.8" bottom="0.33" header="0.48" footer="0.21"/>
  <pageSetup fitToHeight="1" fitToWidth="1" horizontalDpi="600" verticalDpi="600" orientation="portrait" paperSize="5" scale="82"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1">
      <selection activeCell="C19" sqref="C19"/>
    </sheetView>
  </sheetViews>
  <sheetFormatPr defaultColWidth="8.8515625" defaultRowHeight="12.75"/>
  <cols>
    <col min="1" max="1" width="2.8515625" style="0" customWidth="1"/>
    <col min="2" max="2" width="69.8515625" style="0" customWidth="1"/>
  </cols>
  <sheetData>
    <row r="1" spans="1:5" ht="18">
      <c r="A1" s="60" t="s">
        <v>71</v>
      </c>
      <c r="B1" s="61"/>
      <c r="C1" s="61"/>
      <c r="D1" s="61"/>
      <c r="E1" s="61"/>
    </row>
    <row r="2" ht="15.75">
      <c r="A2" s="2" t="s">
        <v>0</v>
      </c>
    </row>
    <row r="3" ht="15.75">
      <c r="A3" s="2" t="s">
        <v>1</v>
      </c>
    </row>
    <row r="4" ht="15.75">
      <c r="A4" s="44" t="str">
        <f>+'Jan '!A4</f>
        <v>YEAR: 1/1/2010 - 12/31/2010</v>
      </c>
    </row>
    <row r="5" ht="13.5" thickBot="1">
      <c r="A5" s="3"/>
    </row>
    <row r="6" spans="1:5" ht="13.5" thickBot="1">
      <c r="A6" s="4"/>
      <c r="B6" s="5" t="str">
        <f>+'Jan '!B6</f>
        <v>NAME OF ORGANIZATION:  Miami Dade Coalition</v>
      </c>
      <c r="C6" s="64" t="s">
        <v>82</v>
      </c>
      <c r="D6" s="65"/>
      <c r="E6" s="66"/>
    </row>
    <row r="7" spans="1:5" ht="12.75">
      <c r="A7" s="4"/>
      <c r="B7" s="6"/>
      <c r="C7" s="38" t="s">
        <v>2</v>
      </c>
      <c r="D7" s="7" t="s">
        <v>3</v>
      </c>
      <c r="E7" s="8" t="s">
        <v>4</v>
      </c>
    </row>
    <row r="8" spans="1:5" ht="12.75">
      <c r="A8" s="9" t="s">
        <v>5</v>
      </c>
      <c r="B8" s="10" t="s">
        <v>6</v>
      </c>
      <c r="C8" s="39">
        <f>+'Aug '!C85</f>
        <v>665</v>
      </c>
      <c r="D8" s="11">
        <f>+'Aug '!D85</f>
        <v>747</v>
      </c>
      <c r="E8" s="12">
        <f>SUM(C8:D8)</f>
        <v>1412</v>
      </c>
    </row>
    <row r="9" spans="1:5" ht="12.75">
      <c r="A9" s="9"/>
      <c r="B9" s="10"/>
      <c r="C9" s="40"/>
      <c r="D9" s="14"/>
      <c r="E9" s="12"/>
    </row>
    <row r="10" spans="1:5" ht="12.75">
      <c r="A10" s="9"/>
      <c r="B10" s="10" t="s">
        <v>7</v>
      </c>
      <c r="C10" s="40"/>
      <c r="D10" s="14"/>
      <c r="E10" s="15"/>
    </row>
    <row r="11" spans="1:5" ht="12.75">
      <c r="A11" s="9"/>
      <c r="B11" s="16" t="s">
        <v>8</v>
      </c>
      <c r="C11" s="40"/>
      <c r="D11" s="14"/>
      <c r="E11" s="15"/>
    </row>
    <row r="12" spans="1:5" ht="12.75">
      <c r="A12" s="9"/>
      <c r="B12" s="17" t="s">
        <v>9</v>
      </c>
      <c r="C12" s="40">
        <f>834+50+21</f>
        <v>905</v>
      </c>
      <c r="D12" s="14">
        <f>464+15+32</f>
        <v>511</v>
      </c>
      <c r="E12" s="15">
        <f>SUM(C12:D12)</f>
        <v>1416</v>
      </c>
    </row>
    <row r="13" spans="1:5" ht="12.75">
      <c r="A13" s="9"/>
      <c r="B13" s="17" t="s">
        <v>10</v>
      </c>
      <c r="C13" s="40">
        <f>125+5</f>
        <v>130</v>
      </c>
      <c r="D13" s="14">
        <v>230</v>
      </c>
      <c r="E13" s="15">
        <f>SUM(C13:D13)</f>
        <v>360</v>
      </c>
    </row>
    <row r="14" spans="1:5" ht="12.75">
      <c r="A14" s="9"/>
      <c r="B14" s="17" t="s">
        <v>11</v>
      </c>
      <c r="C14" s="40">
        <v>231</v>
      </c>
      <c r="D14" s="14">
        <v>232</v>
      </c>
      <c r="E14" s="15">
        <f>SUM(C14:D14)</f>
        <v>463</v>
      </c>
    </row>
    <row r="15" spans="1:5" ht="12.75">
      <c r="A15" s="9"/>
      <c r="B15" s="17" t="s">
        <v>12</v>
      </c>
      <c r="C15" s="40">
        <v>585</v>
      </c>
      <c r="D15" s="14">
        <v>234</v>
      </c>
      <c r="E15" s="15">
        <f>SUM(C15:D15)</f>
        <v>819</v>
      </c>
    </row>
    <row r="16" spans="1:5" ht="12.75">
      <c r="A16" s="9" t="s">
        <v>13</v>
      </c>
      <c r="B16" s="18" t="s">
        <v>14</v>
      </c>
      <c r="C16" s="50">
        <f>SUM(C12:C15)</f>
        <v>1851</v>
      </c>
      <c r="D16" s="11">
        <f>SUM(D12:D15)</f>
        <v>1207</v>
      </c>
      <c r="E16" s="19">
        <f>SUM(C16:D16)</f>
        <v>3058</v>
      </c>
    </row>
    <row r="17" spans="1:5" ht="12.75">
      <c r="A17" s="9"/>
      <c r="B17" s="16" t="s">
        <v>15</v>
      </c>
      <c r="C17" s="40"/>
      <c r="D17" s="14"/>
      <c r="E17" s="15"/>
    </row>
    <row r="18" spans="1:5" ht="12.75">
      <c r="A18" s="9"/>
      <c r="B18" s="17" t="s">
        <v>9</v>
      </c>
      <c r="C18" s="40">
        <v>25</v>
      </c>
      <c r="D18" s="14"/>
      <c r="E18" s="15">
        <f>SUM(C18:D18)</f>
        <v>25</v>
      </c>
    </row>
    <row r="19" spans="1:5" ht="12.75">
      <c r="A19" s="9"/>
      <c r="B19" s="17" t="s">
        <v>10</v>
      </c>
      <c r="C19" s="40"/>
      <c r="D19" s="14"/>
      <c r="E19" s="15">
        <f>SUM(C19:D19)</f>
        <v>0</v>
      </c>
    </row>
    <row r="20" spans="1:5" ht="12.75">
      <c r="A20" s="9"/>
      <c r="B20" s="17" t="s">
        <v>11</v>
      </c>
      <c r="C20" s="40"/>
      <c r="D20" s="14"/>
      <c r="E20" s="15">
        <f>SUM(C20:D20)</f>
        <v>0</v>
      </c>
    </row>
    <row r="21" spans="1:5" ht="12.75">
      <c r="A21" s="9"/>
      <c r="B21" s="17" t="s">
        <v>12</v>
      </c>
      <c r="C21" s="40"/>
      <c r="D21" s="14"/>
      <c r="E21" s="15">
        <f>SUM(C21:D21)</f>
        <v>0</v>
      </c>
    </row>
    <row r="22" spans="1:5" ht="12.75">
      <c r="A22" s="9" t="s">
        <v>16</v>
      </c>
      <c r="B22" s="18" t="s">
        <v>95</v>
      </c>
      <c r="C22" s="50">
        <f>SUM(C17:C21)</f>
        <v>25</v>
      </c>
      <c r="D22" s="11">
        <f>SUM(D17:D21)</f>
        <v>0</v>
      </c>
      <c r="E22" s="19">
        <f>SUM(C22:D22)</f>
        <v>25</v>
      </c>
    </row>
    <row r="23" spans="1:5" ht="12.75">
      <c r="A23" s="9"/>
      <c r="B23" s="16" t="s">
        <v>18</v>
      </c>
      <c r="C23" s="40"/>
      <c r="D23" s="14"/>
      <c r="E23" s="15"/>
    </row>
    <row r="24" spans="1:5" ht="12.75">
      <c r="A24" s="9"/>
      <c r="B24" s="17" t="s">
        <v>9</v>
      </c>
      <c r="C24" s="40"/>
      <c r="D24" s="14"/>
      <c r="E24" s="15">
        <f>SUM(C24:D24)</f>
        <v>0</v>
      </c>
    </row>
    <row r="25" spans="1:5" ht="12.75">
      <c r="A25" s="9"/>
      <c r="B25" s="17" t="s">
        <v>10</v>
      </c>
      <c r="C25" s="40"/>
      <c r="D25" s="14"/>
      <c r="E25" s="15">
        <f>SUM(C25:D25)</f>
        <v>0</v>
      </c>
    </row>
    <row r="26" spans="1:5" ht="12.75">
      <c r="A26" s="9"/>
      <c r="B26" s="17" t="s">
        <v>11</v>
      </c>
      <c r="C26" s="40"/>
      <c r="D26" s="14"/>
      <c r="E26" s="15">
        <f>SUM(C26:D26)</f>
        <v>0</v>
      </c>
    </row>
    <row r="27" spans="1:5" ht="12.75">
      <c r="A27" s="9"/>
      <c r="B27" s="17" t="s">
        <v>12</v>
      </c>
      <c r="C27" s="40"/>
      <c r="D27" s="14"/>
      <c r="E27" s="15">
        <f>SUM(C27:D27)</f>
        <v>0</v>
      </c>
    </row>
    <row r="28" spans="1:5" ht="12.75">
      <c r="A28" s="9" t="s">
        <v>19</v>
      </c>
      <c r="B28" s="18" t="s">
        <v>96</v>
      </c>
      <c r="C28" s="39">
        <f>SUM(C24:C27)</f>
        <v>0</v>
      </c>
      <c r="D28" s="11">
        <f>SUM(D24:D27)</f>
        <v>0</v>
      </c>
      <c r="E28" s="19">
        <f>SUM(C28:D28)</f>
        <v>0</v>
      </c>
    </row>
    <row r="29" spans="1:5" ht="12.75">
      <c r="A29" s="9"/>
      <c r="B29" s="16" t="s">
        <v>21</v>
      </c>
      <c r="C29" s="40"/>
      <c r="D29" s="14"/>
      <c r="E29" s="15"/>
    </row>
    <row r="30" spans="1:5" ht="12.75">
      <c r="A30" s="9"/>
      <c r="B30" s="17" t="s">
        <v>9</v>
      </c>
      <c r="C30" s="40"/>
      <c r="D30" s="14"/>
      <c r="E30" s="15">
        <f aca="true" t="shared" si="0" ref="E30:E37">SUM(C30:D30)</f>
        <v>0</v>
      </c>
    </row>
    <row r="31" spans="1:5" ht="12.75">
      <c r="A31" s="9"/>
      <c r="B31" s="17" t="s">
        <v>10</v>
      </c>
      <c r="C31" s="40"/>
      <c r="D31" s="14"/>
      <c r="E31" s="15">
        <f t="shared" si="0"/>
        <v>0</v>
      </c>
    </row>
    <row r="32" spans="1:5" ht="12.75">
      <c r="A32" s="9"/>
      <c r="B32" s="17" t="s">
        <v>11</v>
      </c>
      <c r="C32" s="40"/>
      <c r="D32" s="14"/>
      <c r="E32" s="15">
        <f t="shared" si="0"/>
        <v>0</v>
      </c>
    </row>
    <row r="33" spans="1:5" ht="12.75">
      <c r="A33" s="9"/>
      <c r="B33" s="17" t="s">
        <v>12</v>
      </c>
      <c r="C33" s="40">
        <v>72</v>
      </c>
      <c r="D33" s="14">
        <v>11</v>
      </c>
      <c r="E33" s="15">
        <f t="shared" si="0"/>
        <v>83</v>
      </c>
    </row>
    <row r="34" spans="1:5" ht="12.75">
      <c r="A34" s="9" t="s">
        <v>22</v>
      </c>
      <c r="B34" s="18" t="s">
        <v>23</v>
      </c>
      <c r="C34" s="39">
        <f>SUM(C30:C33)</f>
        <v>72</v>
      </c>
      <c r="D34" s="11">
        <f>SUM(D30:D33)</f>
        <v>11</v>
      </c>
      <c r="E34" s="19">
        <f t="shared" si="0"/>
        <v>83</v>
      </c>
    </row>
    <row r="35" spans="1:5" ht="15">
      <c r="A35" s="9" t="s">
        <v>24</v>
      </c>
      <c r="B35" s="46" t="s">
        <v>97</v>
      </c>
      <c r="C35" s="47">
        <f>C16+C22+C28+C34</f>
        <v>1948</v>
      </c>
      <c r="D35" s="48">
        <f>D16+D22+D28+D34</f>
        <v>1218</v>
      </c>
      <c r="E35" s="49">
        <f t="shared" si="0"/>
        <v>3166</v>
      </c>
    </row>
    <row r="36" spans="1:5" ht="12.75">
      <c r="A36" s="21" t="s">
        <v>26</v>
      </c>
      <c r="B36" s="22" t="s">
        <v>27</v>
      </c>
      <c r="C36" s="42">
        <f>+C33</f>
        <v>72</v>
      </c>
      <c r="D36" s="24">
        <f>+D33</f>
        <v>11</v>
      </c>
      <c r="E36" s="34">
        <f t="shared" si="0"/>
        <v>83</v>
      </c>
    </row>
    <row r="37" spans="1:5" ht="15">
      <c r="A37" s="9" t="s">
        <v>28</v>
      </c>
      <c r="B37" s="46" t="s">
        <v>98</v>
      </c>
      <c r="C37" s="47">
        <f>C35-C36</f>
        <v>1876</v>
      </c>
      <c r="D37" s="48">
        <f>D35-D36</f>
        <v>1207</v>
      </c>
      <c r="E37" s="49">
        <f t="shared" si="0"/>
        <v>3083</v>
      </c>
    </row>
    <row r="38" spans="1:5" ht="12.75">
      <c r="A38" s="9"/>
      <c r="B38" s="25"/>
      <c r="C38" s="40"/>
      <c r="D38" s="14"/>
      <c r="E38" s="15"/>
    </row>
    <row r="39" spans="1:5" ht="12.75">
      <c r="A39" s="9"/>
      <c r="B39" s="10" t="s">
        <v>30</v>
      </c>
      <c r="C39" s="40"/>
      <c r="D39" s="14"/>
      <c r="E39" s="15"/>
    </row>
    <row r="40" spans="1:5" ht="12.75">
      <c r="A40" s="9"/>
      <c r="B40" s="26" t="s">
        <v>31</v>
      </c>
      <c r="C40" s="40"/>
      <c r="D40" s="14"/>
      <c r="E40" s="15"/>
    </row>
    <row r="41" spans="1:5" ht="12.75">
      <c r="A41" s="9"/>
      <c r="B41" s="17" t="s">
        <v>9</v>
      </c>
      <c r="C41" s="40">
        <f>375+84</f>
        <v>459</v>
      </c>
      <c r="D41" s="14">
        <f>107+23</f>
        <v>130</v>
      </c>
      <c r="E41" s="15">
        <f>SUM(C41:D41)</f>
        <v>589</v>
      </c>
    </row>
    <row r="42" spans="1:5" ht="12.75">
      <c r="A42" s="9"/>
      <c r="B42" s="17" t="s">
        <v>10</v>
      </c>
      <c r="C42" s="40">
        <v>170</v>
      </c>
      <c r="D42" s="14">
        <v>10</v>
      </c>
      <c r="E42" s="15">
        <f>SUM(C42:D42)</f>
        <v>180</v>
      </c>
    </row>
    <row r="43" spans="1:5" ht="12.75">
      <c r="A43" s="9"/>
      <c r="B43" s="17" t="s">
        <v>11</v>
      </c>
      <c r="C43" s="40">
        <v>17</v>
      </c>
      <c r="D43" s="14">
        <v>2</v>
      </c>
      <c r="E43" s="15">
        <f>SUM(C43:D43)</f>
        <v>19</v>
      </c>
    </row>
    <row r="44" spans="1:5" ht="12.75">
      <c r="A44" s="9"/>
      <c r="B44" s="17" t="s">
        <v>12</v>
      </c>
      <c r="C44" s="40">
        <v>6</v>
      </c>
      <c r="D44" s="14">
        <v>0</v>
      </c>
      <c r="E44" s="15">
        <f>SUM(C44:D44)</f>
        <v>6</v>
      </c>
    </row>
    <row r="45" spans="1:5" ht="12.75">
      <c r="A45" s="9"/>
      <c r="B45" s="18" t="s">
        <v>99</v>
      </c>
      <c r="C45" s="50">
        <f>SUM(C41:C44)</f>
        <v>652</v>
      </c>
      <c r="D45" s="11">
        <f>SUM(D41:D44)</f>
        <v>142</v>
      </c>
      <c r="E45" s="19">
        <f>SUM(C45:D45)</f>
        <v>794</v>
      </c>
    </row>
    <row r="46" spans="1:5" ht="12.75">
      <c r="A46" s="9"/>
      <c r="B46" s="26" t="s">
        <v>33</v>
      </c>
      <c r="C46" s="40"/>
      <c r="D46" s="14"/>
      <c r="E46" s="15"/>
    </row>
    <row r="47" spans="1:5" ht="12.75">
      <c r="A47" s="9"/>
      <c r="B47" s="17" t="s">
        <v>9</v>
      </c>
      <c r="C47" s="40">
        <v>26</v>
      </c>
      <c r="D47" s="14">
        <v>17</v>
      </c>
      <c r="E47" s="15">
        <f aca="true" t="shared" si="1" ref="E47:E52">SUM(C47:D47)</f>
        <v>43</v>
      </c>
    </row>
    <row r="48" spans="1:5" ht="12.75">
      <c r="A48" s="9"/>
      <c r="B48" s="17" t="s">
        <v>10</v>
      </c>
      <c r="C48" s="40">
        <v>7</v>
      </c>
      <c r="D48" s="14"/>
      <c r="E48" s="15">
        <f t="shared" si="1"/>
        <v>7</v>
      </c>
    </row>
    <row r="49" spans="1:5" ht="12.75">
      <c r="A49" s="9"/>
      <c r="B49" s="17" t="s">
        <v>11</v>
      </c>
      <c r="C49" s="40"/>
      <c r="D49" s="14"/>
      <c r="E49" s="15">
        <f t="shared" si="1"/>
        <v>0</v>
      </c>
    </row>
    <row r="50" spans="1:5" ht="12.75">
      <c r="A50" s="9"/>
      <c r="B50" s="17" t="s">
        <v>12</v>
      </c>
      <c r="C50" s="40"/>
      <c r="D50" s="14"/>
      <c r="E50" s="15">
        <f t="shared" si="1"/>
        <v>0</v>
      </c>
    </row>
    <row r="51" spans="1:5" ht="24">
      <c r="A51" s="9"/>
      <c r="B51" s="18" t="s">
        <v>100</v>
      </c>
      <c r="C51" s="50">
        <f>SUM(C47:C50)</f>
        <v>33</v>
      </c>
      <c r="D51" s="11">
        <f>SUM(D47:D50)</f>
        <v>17</v>
      </c>
      <c r="E51" s="19">
        <f t="shared" si="1"/>
        <v>50</v>
      </c>
    </row>
    <row r="52" spans="1:5" ht="12.75">
      <c r="A52" s="54" t="s">
        <v>35</v>
      </c>
      <c r="B52" s="55" t="s">
        <v>36</v>
      </c>
      <c r="C52" s="51">
        <f>+C51+C45</f>
        <v>685</v>
      </c>
      <c r="D52" s="20">
        <f>+D51+D45</f>
        <v>159</v>
      </c>
      <c r="E52" s="12">
        <f t="shared" si="1"/>
        <v>844</v>
      </c>
    </row>
    <row r="53" spans="1:5" ht="12.75">
      <c r="A53" s="9"/>
      <c r="B53" s="10"/>
      <c r="C53" s="40"/>
      <c r="D53" s="14"/>
      <c r="E53" s="15"/>
    </row>
    <row r="54" spans="1:5" ht="12.75">
      <c r="A54" s="9"/>
      <c r="B54" s="10" t="s">
        <v>37</v>
      </c>
      <c r="C54" s="40"/>
      <c r="D54" s="14"/>
      <c r="E54" s="15"/>
    </row>
    <row r="55" spans="1:5" ht="12.75">
      <c r="A55" s="9"/>
      <c r="B55" s="17" t="s">
        <v>9</v>
      </c>
      <c r="C55" s="40">
        <v>25</v>
      </c>
      <c r="D55" s="14">
        <v>0</v>
      </c>
      <c r="E55" s="15">
        <f>SUM(C55:D55)</f>
        <v>25</v>
      </c>
    </row>
    <row r="56" spans="1:5" ht="12.75">
      <c r="A56" s="9"/>
      <c r="B56" s="17" t="s">
        <v>10</v>
      </c>
      <c r="C56" s="40"/>
      <c r="D56" s="14"/>
      <c r="E56" s="15">
        <f>SUM(C56:D56)</f>
        <v>0</v>
      </c>
    </row>
    <row r="57" spans="1:5" ht="12.75">
      <c r="A57" s="9"/>
      <c r="B57" s="17" t="s">
        <v>11</v>
      </c>
      <c r="C57" s="40"/>
      <c r="D57" s="14"/>
      <c r="E57" s="15">
        <f>SUM(C57:D57)</f>
        <v>0</v>
      </c>
    </row>
    <row r="58" spans="1:5" ht="12.75">
      <c r="A58" s="9"/>
      <c r="B58" s="17" t="s">
        <v>12</v>
      </c>
      <c r="C58" s="40"/>
      <c r="D58" s="14"/>
      <c r="E58" s="15">
        <f>SUM(C58:D58)</f>
        <v>0</v>
      </c>
    </row>
    <row r="59" spans="1:5" ht="12.75">
      <c r="A59" s="54" t="s">
        <v>38</v>
      </c>
      <c r="B59" s="57" t="s">
        <v>101</v>
      </c>
      <c r="C59" s="41">
        <f>SUM(C55:C58)</f>
        <v>25</v>
      </c>
      <c r="D59" s="20">
        <f>SUM(D55:D58)</f>
        <v>0</v>
      </c>
      <c r="E59" s="12">
        <f>SUM(C59:D59)</f>
        <v>25</v>
      </c>
    </row>
    <row r="60" spans="1:5" ht="12.75">
      <c r="A60" s="9"/>
      <c r="B60" s="10"/>
      <c r="C60" s="40"/>
      <c r="D60" s="14"/>
      <c r="E60" s="15"/>
    </row>
    <row r="61" spans="1:5" ht="12.75">
      <c r="A61" s="9"/>
      <c r="B61" s="10" t="s">
        <v>40</v>
      </c>
      <c r="C61" s="40"/>
      <c r="D61" s="14"/>
      <c r="E61" s="15"/>
    </row>
    <row r="62" spans="1:5" ht="12.75">
      <c r="A62" s="9"/>
      <c r="B62" s="17" t="s">
        <v>9</v>
      </c>
      <c r="C62" s="40">
        <v>281</v>
      </c>
      <c r="D62" s="14">
        <v>37</v>
      </c>
      <c r="E62" s="15">
        <f>SUM(C62:D62)</f>
        <v>318</v>
      </c>
    </row>
    <row r="63" spans="1:5" ht="12.75">
      <c r="A63" s="9"/>
      <c r="B63" s="17" t="s">
        <v>10</v>
      </c>
      <c r="C63" s="40">
        <v>15</v>
      </c>
      <c r="D63" s="14">
        <v>1</v>
      </c>
      <c r="E63" s="15">
        <f>SUM(C63:D63)</f>
        <v>16</v>
      </c>
    </row>
    <row r="64" spans="1:5" ht="12.75">
      <c r="A64" s="9"/>
      <c r="B64" s="17" t="s">
        <v>11</v>
      </c>
      <c r="C64" s="40">
        <v>3</v>
      </c>
      <c r="D64" s="14">
        <v>0</v>
      </c>
      <c r="E64" s="15">
        <f>SUM(C64:D64)</f>
        <v>3</v>
      </c>
    </row>
    <row r="65" spans="1:5" ht="12.75">
      <c r="A65" s="9"/>
      <c r="B65" s="17" t="s">
        <v>12</v>
      </c>
      <c r="C65" s="40">
        <v>6</v>
      </c>
      <c r="D65" s="14">
        <v>0</v>
      </c>
      <c r="E65" s="15">
        <f>SUM(C65:D65)</f>
        <v>6</v>
      </c>
    </row>
    <row r="66" spans="1:5" ht="12.75">
      <c r="A66" s="54" t="s">
        <v>41</v>
      </c>
      <c r="B66" s="57" t="s">
        <v>102</v>
      </c>
      <c r="C66" s="41">
        <f>SUM(C62:C65)</f>
        <v>305</v>
      </c>
      <c r="D66" s="20">
        <f>SUM(D62:D65)</f>
        <v>38</v>
      </c>
      <c r="E66" s="12">
        <f>SUM(C66:D66)</f>
        <v>343</v>
      </c>
    </row>
    <row r="67" spans="1:5" ht="12.75">
      <c r="A67" s="9"/>
      <c r="B67" s="10"/>
      <c r="C67" s="40"/>
      <c r="D67" s="14"/>
      <c r="E67" s="15"/>
    </row>
    <row r="68" spans="1:5" ht="12.75">
      <c r="A68" s="9" t="s">
        <v>43</v>
      </c>
      <c r="B68" s="10" t="s">
        <v>44</v>
      </c>
      <c r="C68" s="41">
        <f>124+1</f>
        <v>125</v>
      </c>
      <c r="D68" s="20">
        <v>2</v>
      </c>
      <c r="E68" s="12">
        <f>SUM(C68:D68)</f>
        <v>127</v>
      </c>
    </row>
    <row r="69" spans="1:5" ht="12.75">
      <c r="A69" s="9"/>
      <c r="B69" s="10"/>
      <c r="C69" s="40"/>
      <c r="D69" s="14"/>
      <c r="E69" s="15"/>
    </row>
    <row r="70" spans="1:5" ht="12.75">
      <c r="A70" s="9"/>
      <c r="B70" s="10" t="s">
        <v>45</v>
      </c>
      <c r="C70" s="40"/>
      <c r="D70" s="14"/>
      <c r="E70" s="15"/>
    </row>
    <row r="71" spans="1:5" ht="12.75">
      <c r="A71" s="9" t="s">
        <v>46</v>
      </c>
      <c r="B71" s="25" t="s">
        <v>47</v>
      </c>
      <c r="C71" s="40">
        <v>25</v>
      </c>
      <c r="D71" s="14">
        <v>30</v>
      </c>
      <c r="E71" s="15">
        <f aca="true" t="shared" si="2" ref="E71:E77">SUM(C71:D71)</f>
        <v>55</v>
      </c>
    </row>
    <row r="72" spans="1:5" ht="12.75">
      <c r="A72" s="9" t="s">
        <v>48</v>
      </c>
      <c r="B72" s="25" t="s">
        <v>49</v>
      </c>
      <c r="C72" s="40">
        <v>169</v>
      </c>
      <c r="D72" s="14">
        <v>158</v>
      </c>
      <c r="E72" s="15">
        <f t="shared" si="2"/>
        <v>327</v>
      </c>
    </row>
    <row r="73" spans="1:5" ht="12.75">
      <c r="A73" s="9" t="s">
        <v>50</v>
      </c>
      <c r="B73" s="25" t="s">
        <v>51</v>
      </c>
      <c r="C73" s="40">
        <v>127</v>
      </c>
      <c r="D73" s="14">
        <v>198</v>
      </c>
      <c r="E73" s="15">
        <f t="shared" si="2"/>
        <v>325</v>
      </c>
    </row>
    <row r="74" spans="1:5" ht="12.75">
      <c r="A74" s="9" t="s">
        <v>52</v>
      </c>
      <c r="B74" s="25" t="s">
        <v>53</v>
      </c>
      <c r="C74" s="40">
        <f>523+2</f>
        <v>525</v>
      </c>
      <c r="D74" s="14">
        <v>604</v>
      </c>
      <c r="E74" s="15">
        <f t="shared" si="2"/>
        <v>1129</v>
      </c>
    </row>
    <row r="75" spans="1:5" ht="12.75">
      <c r="A75" s="9" t="s">
        <v>54</v>
      </c>
      <c r="B75" s="25" t="s">
        <v>55</v>
      </c>
      <c r="C75" s="41">
        <f>SUM(C71:C74)</f>
        <v>846</v>
      </c>
      <c r="D75" s="20">
        <f>SUM(D71:D74)</f>
        <v>990</v>
      </c>
      <c r="E75" s="12">
        <f t="shared" si="2"/>
        <v>1836</v>
      </c>
    </row>
    <row r="76" spans="1:5" ht="12.75">
      <c r="A76" s="21" t="s">
        <v>56</v>
      </c>
      <c r="B76" s="22" t="s">
        <v>27</v>
      </c>
      <c r="C76" s="42">
        <f>+C36</f>
        <v>72</v>
      </c>
      <c r="D76" s="24">
        <f>+D36</f>
        <v>11</v>
      </c>
      <c r="E76" s="34">
        <f t="shared" si="2"/>
        <v>83</v>
      </c>
    </row>
    <row r="77" spans="1:5" ht="12.75">
      <c r="A77" s="9" t="s">
        <v>57</v>
      </c>
      <c r="B77" s="10" t="s">
        <v>58</v>
      </c>
      <c r="C77" s="41">
        <f>C75-C76</f>
        <v>774</v>
      </c>
      <c r="D77" s="20">
        <f>D75-D76</f>
        <v>979</v>
      </c>
      <c r="E77" s="12">
        <f t="shared" si="2"/>
        <v>1753</v>
      </c>
    </row>
    <row r="78" spans="1:5" ht="12.75">
      <c r="A78" s="9"/>
      <c r="B78" s="10"/>
      <c r="C78" s="40"/>
      <c r="D78" s="14"/>
      <c r="E78" s="15"/>
    </row>
    <row r="79" spans="1:5" ht="24">
      <c r="A79" s="9" t="s">
        <v>59</v>
      </c>
      <c r="B79" s="10" t="s">
        <v>60</v>
      </c>
      <c r="C79" s="41">
        <f>C52+C59+C66+C68+C77</f>
        <v>1914</v>
      </c>
      <c r="D79" s="20">
        <f>D52+D59+D66+D68+D77</f>
        <v>1178</v>
      </c>
      <c r="E79" s="12">
        <f>SUM(C79:D79)</f>
        <v>3092</v>
      </c>
    </row>
    <row r="80" spans="1:5" ht="12.75">
      <c r="A80" s="9"/>
      <c r="B80" s="27"/>
      <c r="C80" s="40"/>
      <c r="D80" s="14"/>
      <c r="E80" s="15"/>
    </row>
    <row r="81" spans="1:5" ht="12.75">
      <c r="A81" s="9" t="s">
        <v>61</v>
      </c>
      <c r="B81" s="10" t="s">
        <v>62</v>
      </c>
      <c r="C81" s="41">
        <v>12</v>
      </c>
      <c r="D81" s="20">
        <v>8</v>
      </c>
      <c r="E81" s="12">
        <f>SUM(C81:D81)</f>
        <v>20</v>
      </c>
    </row>
    <row r="82" spans="1:5" ht="12.75">
      <c r="A82" s="9"/>
      <c r="B82" s="27"/>
      <c r="C82" s="40"/>
      <c r="D82" s="14"/>
      <c r="E82" s="15"/>
    </row>
    <row r="83" spans="1:5" ht="24">
      <c r="A83" s="9" t="s">
        <v>63</v>
      </c>
      <c r="B83" s="10" t="s">
        <v>64</v>
      </c>
      <c r="C83" s="41">
        <f>C79+C81</f>
        <v>1926</v>
      </c>
      <c r="D83" s="20">
        <f>D79+D81</f>
        <v>1186</v>
      </c>
      <c r="E83" s="12">
        <f>SUM(C83:D83)</f>
        <v>3112</v>
      </c>
    </row>
    <row r="84" spans="1:5" ht="12.75">
      <c r="A84" s="9"/>
      <c r="B84" s="27"/>
      <c r="C84" s="40"/>
      <c r="D84" s="14"/>
      <c r="E84" s="15"/>
    </row>
    <row r="85" spans="1:5" ht="13.5" thickBot="1">
      <c r="A85" s="28" t="s">
        <v>65</v>
      </c>
      <c r="B85" s="29" t="s">
        <v>66</v>
      </c>
      <c r="C85" s="52">
        <f>+C8+C37-C83</f>
        <v>615</v>
      </c>
      <c r="D85" s="53">
        <f>+D8+D37-D83</f>
        <v>768</v>
      </c>
      <c r="E85" s="30">
        <f>SUM(C85:D85)</f>
        <v>1383</v>
      </c>
    </row>
    <row r="86" spans="1:5" ht="30" customHeight="1">
      <c r="A86" s="69" t="s">
        <v>67</v>
      </c>
      <c r="B86" s="70"/>
      <c r="C86" s="35">
        <f>(C8+C35)-(C76+C83)</f>
        <v>615</v>
      </c>
      <c r="D86" s="35">
        <f>(D8+D35)-(D76+D83)</f>
        <v>768</v>
      </c>
      <c r="E86" s="35">
        <f>(E8+E35)-(E76+E83)</f>
        <v>1383</v>
      </c>
    </row>
    <row r="87" spans="1:5" ht="42.75" customHeight="1">
      <c r="A87" s="67" t="s">
        <v>68</v>
      </c>
      <c r="B87" s="68"/>
      <c r="C87" s="68"/>
      <c r="D87" s="68"/>
      <c r="E87" s="68"/>
    </row>
    <row r="88" spans="1:5" ht="12.75">
      <c r="A88" s="36"/>
      <c r="B88" s="37"/>
      <c r="C88" s="37"/>
      <c r="D88" s="37"/>
      <c r="E88" s="37"/>
    </row>
    <row r="89" spans="1:5" ht="15" customHeight="1">
      <c r="A89" s="62" t="s">
        <v>69</v>
      </c>
      <c r="B89" s="63"/>
      <c r="C89" s="63"/>
      <c r="D89" s="63"/>
      <c r="E89" s="63"/>
    </row>
    <row r="90" ht="12.75">
      <c r="A90" s="31"/>
    </row>
    <row r="91" spans="1:5" ht="45.75" customHeight="1">
      <c r="A91" s="58" t="s">
        <v>70</v>
      </c>
      <c r="B91" s="59"/>
      <c r="C91" s="59"/>
      <c r="D91" s="59"/>
      <c r="E91" s="59"/>
    </row>
    <row r="92" ht="15" customHeight="1">
      <c r="A92" s="32"/>
    </row>
    <row r="93" ht="15.75">
      <c r="A93" s="33" t="s">
        <v>91</v>
      </c>
    </row>
  </sheetData>
  <sheetProtection/>
  <mergeCells count="6">
    <mergeCell ref="A91:E91"/>
    <mergeCell ref="A1:E1"/>
    <mergeCell ref="A89:E89"/>
    <mergeCell ref="C6:E6"/>
    <mergeCell ref="A87:E87"/>
    <mergeCell ref="A86:B86"/>
  </mergeCells>
  <printOptions/>
  <pageMargins left="0.25" right="0.25" top="0.8" bottom="0.33" header="0.48" footer="0.21"/>
  <pageSetup fitToHeight="1" fitToWidth="1" horizontalDpi="600" verticalDpi="600" orientation="portrait" paperSize="5" scale="82"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22">
      <selection activeCell="C22" sqref="C22"/>
    </sheetView>
  </sheetViews>
  <sheetFormatPr defaultColWidth="8.8515625" defaultRowHeight="12.75"/>
  <cols>
    <col min="1" max="1" width="2.8515625" style="0" customWidth="1"/>
    <col min="2" max="2" width="69.8515625" style="0" customWidth="1"/>
  </cols>
  <sheetData>
    <row r="1" spans="1:5" ht="18">
      <c r="A1" s="60" t="s">
        <v>71</v>
      </c>
      <c r="B1" s="61"/>
      <c r="C1" s="61"/>
      <c r="D1" s="61"/>
      <c r="E1" s="61"/>
    </row>
    <row r="2" ht="15.75">
      <c r="A2" s="2" t="s">
        <v>0</v>
      </c>
    </row>
    <row r="3" ht="15.75">
      <c r="A3" s="2" t="s">
        <v>1</v>
      </c>
    </row>
    <row r="4" ht="15.75">
      <c r="A4" s="44" t="str">
        <f>+'Jan '!A4</f>
        <v>YEAR: 1/1/2010 - 12/31/2010</v>
      </c>
    </row>
    <row r="5" ht="13.5" thickBot="1">
      <c r="A5" s="3"/>
    </row>
    <row r="6" spans="1:5" ht="13.5" thickBot="1">
      <c r="A6" s="4"/>
      <c r="B6" s="5" t="str">
        <f>+'Jan '!B6</f>
        <v>NAME OF ORGANIZATION:  Miami Dade Coalition</v>
      </c>
      <c r="C6" s="71" t="s">
        <v>83</v>
      </c>
      <c r="D6" s="72"/>
      <c r="E6" s="73"/>
    </row>
    <row r="7" spans="1:5" ht="12.75">
      <c r="A7" s="4"/>
      <c r="B7" s="6"/>
      <c r="C7" s="38" t="s">
        <v>2</v>
      </c>
      <c r="D7" s="7" t="s">
        <v>3</v>
      </c>
      <c r="E7" s="8" t="s">
        <v>4</v>
      </c>
    </row>
    <row r="8" spans="1:5" ht="12.75">
      <c r="A8" s="9" t="s">
        <v>5</v>
      </c>
      <c r="B8" s="10" t="s">
        <v>6</v>
      </c>
      <c r="C8" s="39">
        <f>+'Jun '!C85</f>
        <v>617</v>
      </c>
      <c r="D8" s="39">
        <f>+'Jun '!D85</f>
        <v>846</v>
      </c>
      <c r="E8" s="12">
        <f>SUM(C8:D8)</f>
        <v>1463</v>
      </c>
    </row>
    <row r="9" spans="1:5" ht="12.75">
      <c r="A9" s="9"/>
      <c r="B9" s="10"/>
      <c r="C9" s="40"/>
      <c r="D9" s="14"/>
      <c r="E9" s="15"/>
    </row>
    <row r="10" spans="1:5" ht="12.75">
      <c r="A10" s="9"/>
      <c r="B10" s="10" t="s">
        <v>7</v>
      </c>
      <c r="C10" s="40"/>
      <c r="D10" s="14"/>
      <c r="E10" s="15"/>
    </row>
    <row r="11" spans="1:5" ht="12.75">
      <c r="A11" s="9"/>
      <c r="B11" s="16" t="s">
        <v>8</v>
      </c>
      <c r="C11" s="40"/>
      <c r="D11" s="14"/>
      <c r="E11" s="15"/>
    </row>
    <row r="12" spans="1:5" ht="12.75">
      <c r="A12" s="9"/>
      <c r="B12" s="17" t="s">
        <v>9</v>
      </c>
      <c r="C12" s="40">
        <f>SUM('Jul '!C12,'Aug '!C12,'Sept '!C12)</f>
        <v>2819</v>
      </c>
      <c r="D12" s="13">
        <f>SUM('Jul '!D12,'Aug '!D12,'Sept '!D12)</f>
        <v>1793</v>
      </c>
      <c r="E12" s="15">
        <f>SUM(C12:D12)</f>
        <v>4612</v>
      </c>
    </row>
    <row r="13" spans="1:5" ht="12.75">
      <c r="A13" s="9"/>
      <c r="B13" s="17" t="s">
        <v>10</v>
      </c>
      <c r="C13" s="40">
        <f>SUM('Jul '!C13,'Aug '!C13,'Sept '!C13)</f>
        <v>413</v>
      </c>
      <c r="D13" s="13">
        <f>SUM('Jul '!D13,'Aug '!D13,'Sept '!D13)</f>
        <v>783</v>
      </c>
      <c r="E13" s="15">
        <f>SUM(C13:D13)</f>
        <v>1196</v>
      </c>
    </row>
    <row r="14" spans="1:5" ht="12.75">
      <c r="A14" s="9"/>
      <c r="B14" s="17" t="s">
        <v>11</v>
      </c>
      <c r="C14" s="40">
        <f>SUM('Jul '!C14,'Aug '!C14,'Sept '!C14)</f>
        <v>717</v>
      </c>
      <c r="D14" s="13">
        <f>SUM('Jul '!D14,'Aug '!D14,'Sept '!D14)</f>
        <v>783</v>
      </c>
      <c r="E14" s="15">
        <f>SUM(C14:D14)</f>
        <v>1500</v>
      </c>
    </row>
    <row r="15" spans="1:5" ht="12.75">
      <c r="A15" s="9"/>
      <c r="B15" s="17" t="s">
        <v>12</v>
      </c>
      <c r="C15" s="40">
        <f>SUM('Jul '!C15,'Aug '!C15,'Sept '!C15)</f>
        <v>1816</v>
      </c>
      <c r="D15" s="13">
        <f>SUM('Jul '!D15,'Aug '!D15,'Sept '!D15)</f>
        <v>793</v>
      </c>
      <c r="E15" s="15">
        <f>SUM(C15:D15)</f>
        <v>2609</v>
      </c>
    </row>
    <row r="16" spans="1:5" ht="12.75">
      <c r="A16" s="9" t="s">
        <v>13</v>
      </c>
      <c r="B16" s="18" t="s">
        <v>14</v>
      </c>
      <c r="C16" s="39">
        <f>SUM(C12:C15)</f>
        <v>5765</v>
      </c>
      <c r="D16" s="11">
        <f>SUM(D12:D15)</f>
        <v>4152</v>
      </c>
      <c r="E16" s="19">
        <f>SUM(C16:D16)</f>
        <v>9917</v>
      </c>
    </row>
    <row r="17" spans="1:5" ht="12.75">
      <c r="A17" s="9"/>
      <c r="B17" s="16" t="s">
        <v>15</v>
      </c>
      <c r="C17" s="40"/>
      <c r="D17" s="14"/>
      <c r="E17" s="15"/>
    </row>
    <row r="18" spans="1:5" ht="12.75">
      <c r="A18" s="9"/>
      <c r="B18" s="17" t="s">
        <v>9</v>
      </c>
      <c r="C18" s="40">
        <f>SUM('Jul '!C18,'Aug '!C18,'Sept '!C18)</f>
        <v>60</v>
      </c>
      <c r="D18" s="13">
        <f>SUM('Jul '!D18,'Aug '!D18,'Sept '!D18)</f>
        <v>21</v>
      </c>
      <c r="E18" s="15">
        <f>SUM(C18:D18)</f>
        <v>81</v>
      </c>
    </row>
    <row r="19" spans="1:5" ht="12.75">
      <c r="A19" s="9"/>
      <c r="B19" s="17" t="s">
        <v>10</v>
      </c>
      <c r="C19" s="40">
        <f>SUM('Jul '!C19,'Aug '!C19,'Sept '!C19)</f>
        <v>0</v>
      </c>
      <c r="D19" s="13">
        <f>SUM('Jul '!D19,'Aug '!D19,'Sept '!D19)</f>
        <v>0</v>
      </c>
      <c r="E19" s="15">
        <f>SUM(C19:D19)</f>
        <v>0</v>
      </c>
    </row>
    <row r="20" spans="1:5" ht="12.75">
      <c r="A20" s="9"/>
      <c r="B20" s="17" t="s">
        <v>11</v>
      </c>
      <c r="C20" s="40">
        <f>SUM('Jul '!C20,'Aug '!C20,'Sept '!C20)</f>
        <v>0</v>
      </c>
      <c r="D20" s="13">
        <f>SUM('Jul '!D20,'Aug '!D20,'Sept '!D20)</f>
        <v>0</v>
      </c>
      <c r="E20" s="15">
        <f>SUM(C20:D20)</f>
        <v>0</v>
      </c>
    </row>
    <row r="21" spans="1:5" ht="12.75">
      <c r="A21" s="9"/>
      <c r="B21" s="17" t="s">
        <v>12</v>
      </c>
      <c r="C21" s="40">
        <f>SUM('Jul '!C21,'Aug '!C21,'Sept '!C21)</f>
        <v>0</v>
      </c>
      <c r="D21" s="13">
        <f>SUM('Jul '!D21,'Aug '!D21,'Sept '!D21)</f>
        <v>0</v>
      </c>
      <c r="E21" s="15">
        <f>SUM(C21:D21)</f>
        <v>0</v>
      </c>
    </row>
    <row r="22" spans="1:5" ht="12.75">
      <c r="A22" s="9" t="s">
        <v>16</v>
      </c>
      <c r="B22" s="18" t="s">
        <v>17</v>
      </c>
      <c r="C22" s="39">
        <f>SUM(C18:C21)</f>
        <v>60</v>
      </c>
      <c r="D22" s="11">
        <f>SUM(D18:D21)</f>
        <v>21</v>
      </c>
      <c r="E22" s="19">
        <f>SUM(C22:D22)</f>
        <v>81</v>
      </c>
    </row>
    <row r="23" spans="1:5" ht="12.75">
      <c r="A23" s="9"/>
      <c r="B23" s="16" t="s">
        <v>18</v>
      </c>
      <c r="C23" s="40"/>
      <c r="D23" s="14"/>
      <c r="E23" s="15"/>
    </row>
    <row r="24" spans="1:5" ht="12.75">
      <c r="A24" s="9"/>
      <c r="B24" s="17" t="s">
        <v>9</v>
      </c>
      <c r="C24" s="40">
        <f>SUM('Jul '!C24,'Aug '!C24,'Sept '!C24)</f>
        <v>0</v>
      </c>
      <c r="D24" s="13">
        <f>SUM('Jul '!D24,'Aug '!D24,'Sept '!D24)</f>
        <v>1</v>
      </c>
      <c r="E24" s="15">
        <f>SUM(C24:D24)</f>
        <v>1</v>
      </c>
    </row>
    <row r="25" spans="1:5" ht="12.75">
      <c r="A25" s="9"/>
      <c r="B25" s="17" t="s">
        <v>10</v>
      </c>
      <c r="C25" s="40">
        <f>SUM('Jul '!C25,'Aug '!C25,'Sept '!C25)</f>
        <v>0</v>
      </c>
      <c r="D25" s="13">
        <f>SUM('Jul '!D25,'Aug '!D25,'Sept '!D25)</f>
        <v>0</v>
      </c>
      <c r="E25" s="15">
        <f>SUM(C25:D25)</f>
        <v>0</v>
      </c>
    </row>
    <row r="26" spans="1:5" ht="12.75">
      <c r="A26" s="9"/>
      <c r="B26" s="17" t="s">
        <v>11</v>
      </c>
      <c r="C26" s="40">
        <f>SUM('Jul '!C26,'Aug '!C26,'Sept '!C26)</f>
        <v>0</v>
      </c>
      <c r="D26" s="13">
        <f>SUM('Jul '!D26,'Aug '!D26,'Sept '!D26)</f>
        <v>0</v>
      </c>
      <c r="E26" s="15">
        <f>SUM(C26:D26)</f>
        <v>0</v>
      </c>
    </row>
    <row r="27" spans="1:5" ht="12.75">
      <c r="A27" s="9"/>
      <c r="B27" s="17" t="s">
        <v>12</v>
      </c>
      <c r="C27" s="40">
        <f>SUM('Jul '!C27,'Aug '!C27,'Sept '!C27)</f>
        <v>0</v>
      </c>
      <c r="D27" s="13">
        <f>SUM('Jul '!D27,'Aug '!D27,'Sept '!D27)</f>
        <v>0</v>
      </c>
      <c r="E27" s="15">
        <f>SUM(C27:D27)</f>
        <v>0</v>
      </c>
    </row>
    <row r="28" spans="1:5" ht="12.75">
      <c r="A28" s="9" t="s">
        <v>19</v>
      </c>
      <c r="B28" s="18" t="s">
        <v>20</v>
      </c>
      <c r="C28" s="39">
        <f>SUM(C24:C27)</f>
        <v>0</v>
      </c>
      <c r="D28" s="11">
        <f>SUM(D24:D27)</f>
        <v>1</v>
      </c>
      <c r="E28" s="19">
        <f>SUM(C28:D28)</f>
        <v>1</v>
      </c>
    </row>
    <row r="29" spans="1:5" ht="12.75">
      <c r="A29" s="9"/>
      <c r="B29" s="16" t="s">
        <v>21</v>
      </c>
      <c r="C29" s="40"/>
      <c r="D29" s="14"/>
      <c r="E29" s="15"/>
    </row>
    <row r="30" spans="1:5" ht="12.75">
      <c r="A30" s="9"/>
      <c r="B30" s="17" t="s">
        <v>9</v>
      </c>
      <c r="C30" s="40">
        <f>SUM('Jul '!C30,'Aug '!C30,'Sept '!C30)</f>
        <v>1</v>
      </c>
      <c r="D30" s="13">
        <f>SUM('Jul '!D30,'Aug '!D30,'Sept '!D30)</f>
        <v>0</v>
      </c>
      <c r="E30" s="15">
        <f aca="true" t="shared" si="0" ref="E30:E37">SUM(C30:D30)</f>
        <v>1</v>
      </c>
    </row>
    <row r="31" spans="1:5" ht="12.75">
      <c r="A31" s="9"/>
      <c r="B31" s="17" t="s">
        <v>10</v>
      </c>
      <c r="C31" s="40">
        <f>SUM('Jul '!C31,'Aug '!C31,'Sept '!C31)</f>
        <v>0</v>
      </c>
      <c r="D31" s="13">
        <f>SUM('Jul '!D31,'Aug '!D31,'Sept '!D31)</f>
        <v>0</v>
      </c>
      <c r="E31" s="15">
        <f t="shared" si="0"/>
        <v>0</v>
      </c>
    </row>
    <row r="32" spans="1:5" ht="12.75">
      <c r="A32" s="9"/>
      <c r="B32" s="17" t="s">
        <v>11</v>
      </c>
      <c r="C32" s="40">
        <f>SUM('Jul '!C32,'Aug '!C32,'Sept '!C32)</f>
        <v>0</v>
      </c>
      <c r="D32" s="13">
        <f>SUM('Jul '!D32,'Aug '!D32,'Sept '!D32)</f>
        <v>0</v>
      </c>
      <c r="E32" s="15">
        <f t="shared" si="0"/>
        <v>0</v>
      </c>
    </row>
    <row r="33" spans="1:5" ht="12.75">
      <c r="A33" s="9"/>
      <c r="B33" s="17" t="s">
        <v>12</v>
      </c>
      <c r="C33" s="40">
        <f>SUM('Jul '!C33,'Aug '!C33,'Sept '!C33)</f>
        <v>259</v>
      </c>
      <c r="D33" s="13">
        <f>SUM('Jul '!D33,'Aug '!D33,'Sept '!D33)</f>
        <v>37</v>
      </c>
      <c r="E33" s="15">
        <f t="shared" si="0"/>
        <v>296</v>
      </c>
    </row>
    <row r="34" spans="1:5" ht="12.75">
      <c r="A34" s="9" t="s">
        <v>22</v>
      </c>
      <c r="B34" s="18" t="s">
        <v>23</v>
      </c>
      <c r="C34" s="39">
        <f>SUM(C30:C33)</f>
        <v>260</v>
      </c>
      <c r="D34" s="11">
        <f>SUM(D30:D33)</f>
        <v>37</v>
      </c>
      <c r="E34" s="19">
        <f t="shared" si="0"/>
        <v>297</v>
      </c>
    </row>
    <row r="35" spans="1:5" ht="12.75">
      <c r="A35" s="9" t="s">
        <v>24</v>
      </c>
      <c r="B35" s="10" t="s">
        <v>25</v>
      </c>
      <c r="C35" s="41">
        <f>C16+C22+C28+C34</f>
        <v>6085</v>
      </c>
      <c r="D35" s="20">
        <f>D16+D22+D28+D34</f>
        <v>4211</v>
      </c>
      <c r="E35" s="12">
        <f t="shared" si="0"/>
        <v>10296</v>
      </c>
    </row>
    <row r="36" spans="1:5" ht="12.75">
      <c r="A36" s="21" t="s">
        <v>26</v>
      </c>
      <c r="B36" s="22" t="s">
        <v>27</v>
      </c>
      <c r="C36" s="42">
        <f>SUM('Jul '!C36,'Aug '!C36,'Sept '!C36)</f>
        <v>259</v>
      </c>
      <c r="D36" s="23">
        <f>SUM('Jul '!D36,'Aug '!D36,'Sept '!D36)</f>
        <v>37</v>
      </c>
      <c r="E36" s="34">
        <f t="shared" si="0"/>
        <v>296</v>
      </c>
    </row>
    <row r="37" spans="1:5" ht="12.75">
      <c r="A37" s="9" t="s">
        <v>28</v>
      </c>
      <c r="B37" s="10" t="s">
        <v>29</v>
      </c>
      <c r="C37" s="41">
        <f>C35-C36</f>
        <v>5826</v>
      </c>
      <c r="D37" s="20">
        <f>D35-D36</f>
        <v>4174</v>
      </c>
      <c r="E37" s="12">
        <f t="shared" si="0"/>
        <v>10000</v>
      </c>
    </row>
    <row r="38" spans="1:5" ht="12.75">
      <c r="A38" s="9"/>
      <c r="B38" s="25"/>
      <c r="C38" s="40"/>
      <c r="D38" s="14"/>
      <c r="E38" s="15"/>
    </row>
    <row r="39" spans="1:5" ht="12.75">
      <c r="A39" s="9"/>
      <c r="B39" s="10" t="s">
        <v>30</v>
      </c>
      <c r="C39" s="40"/>
      <c r="D39" s="14"/>
      <c r="E39" s="15"/>
    </row>
    <row r="40" spans="1:5" ht="12.75">
      <c r="A40" s="9"/>
      <c r="B40" s="26" t="s">
        <v>31</v>
      </c>
      <c r="C40" s="40"/>
      <c r="D40" s="14"/>
      <c r="E40" s="15"/>
    </row>
    <row r="41" spans="1:5" ht="12.75">
      <c r="A41" s="9"/>
      <c r="B41" s="17" t="s">
        <v>9</v>
      </c>
      <c r="C41" s="40">
        <f>SUM('Jul '!C41,'Aug '!C41,'Sept '!C41)</f>
        <v>1386</v>
      </c>
      <c r="D41" s="13">
        <f>SUM('Jul '!D41,'Aug '!D41,'Sept '!D41)</f>
        <v>488</v>
      </c>
      <c r="E41" s="15">
        <f>SUM(C41:D41)</f>
        <v>1874</v>
      </c>
    </row>
    <row r="42" spans="1:5" ht="12.75">
      <c r="A42" s="9"/>
      <c r="B42" s="17" t="s">
        <v>10</v>
      </c>
      <c r="C42" s="40">
        <f>SUM('Jul '!C42,'Aug '!C42,'Sept '!C42)</f>
        <v>529</v>
      </c>
      <c r="D42" s="13">
        <f>SUM('Jul '!D42,'Aug '!D42,'Sept '!D42)</f>
        <v>34</v>
      </c>
      <c r="E42" s="15">
        <f>SUM(C42:D42)</f>
        <v>563</v>
      </c>
    </row>
    <row r="43" spans="1:5" ht="12.75">
      <c r="A43" s="9"/>
      <c r="B43" s="17" t="s">
        <v>11</v>
      </c>
      <c r="C43" s="40">
        <f>SUM('Jul '!C43,'Aug '!C43,'Sept '!C43)</f>
        <v>53</v>
      </c>
      <c r="D43" s="13">
        <f>SUM('Jul '!D43,'Aug '!D43,'Sept '!D43)</f>
        <v>7</v>
      </c>
      <c r="E43" s="15">
        <f>SUM(C43:D43)</f>
        <v>60</v>
      </c>
    </row>
    <row r="44" spans="1:5" ht="12.75">
      <c r="A44" s="9"/>
      <c r="B44" s="17" t="s">
        <v>12</v>
      </c>
      <c r="C44" s="40">
        <f>SUM('Jul '!C44,'Aug '!C44,'Sept '!C44)</f>
        <v>18</v>
      </c>
      <c r="D44" s="13">
        <f>SUM('Jul '!D44,'Aug '!D44,'Sept '!D44)</f>
        <v>0</v>
      </c>
      <c r="E44" s="15">
        <f>SUM(C44:D44)</f>
        <v>18</v>
      </c>
    </row>
    <row r="45" spans="1:5" ht="12.75">
      <c r="A45" s="9"/>
      <c r="B45" s="18" t="s">
        <v>32</v>
      </c>
      <c r="C45" s="39">
        <f>SUM(C41:C44)</f>
        <v>1986</v>
      </c>
      <c r="D45" s="11">
        <f>SUM(D41:D44)</f>
        <v>529</v>
      </c>
      <c r="E45" s="19">
        <f>SUM(C45:D45)</f>
        <v>2515</v>
      </c>
    </row>
    <row r="46" spans="1:5" ht="12.75">
      <c r="A46" s="9"/>
      <c r="B46" s="26" t="s">
        <v>33</v>
      </c>
      <c r="C46" s="40"/>
      <c r="D46" s="14"/>
      <c r="E46" s="15"/>
    </row>
    <row r="47" spans="1:5" ht="12.75">
      <c r="A47" s="9"/>
      <c r="B47" s="17" t="s">
        <v>9</v>
      </c>
      <c r="C47" s="40">
        <f>SUM('Jul '!C47,'Aug '!C47,'Sept '!C47)</f>
        <v>82</v>
      </c>
      <c r="D47" s="13">
        <f>SUM('Jul '!D47,'Aug '!D47,'Sept '!D47)</f>
        <v>133</v>
      </c>
      <c r="E47" s="15">
        <f aca="true" t="shared" si="1" ref="E47:E52">SUM(C47:D47)</f>
        <v>215</v>
      </c>
    </row>
    <row r="48" spans="1:5" ht="12.75">
      <c r="A48" s="9"/>
      <c r="B48" s="17" t="s">
        <v>10</v>
      </c>
      <c r="C48" s="40">
        <f>SUM('Jul '!C48,'Aug '!C48,'Sept '!C48)</f>
        <v>28</v>
      </c>
      <c r="D48" s="13">
        <f>SUM('Jul '!D48,'Aug '!D48,'Sept '!D48)</f>
        <v>0</v>
      </c>
      <c r="E48" s="15">
        <f t="shared" si="1"/>
        <v>28</v>
      </c>
    </row>
    <row r="49" spans="1:5" ht="12.75">
      <c r="A49" s="9"/>
      <c r="B49" s="17" t="s">
        <v>11</v>
      </c>
      <c r="C49" s="40">
        <f>SUM('Jul '!C49,'Aug '!C49,'Sept '!C49)</f>
        <v>0</v>
      </c>
      <c r="D49" s="13">
        <f>SUM('Jul '!D49,'Aug '!D49,'Sept '!D49)</f>
        <v>0</v>
      </c>
      <c r="E49" s="15">
        <f t="shared" si="1"/>
        <v>0</v>
      </c>
    </row>
    <row r="50" spans="1:5" ht="12.75">
      <c r="A50" s="9"/>
      <c r="B50" s="17" t="s">
        <v>12</v>
      </c>
      <c r="C50" s="40">
        <f>SUM('Jul '!C50,'Aug '!C50,'Sept '!C50)</f>
        <v>0</v>
      </c>
      <c r="D50" s="13">
        <f>SUM('Jul '!D50,'Aug '!D50,'Sept '!D50)</f>
        <v>0</v>
      </c>
      <c r="E50" s="15">
        <f t="shared" si="1"/>
        <v>0</v>
      </c>
    </row>
    <row r="51" spans="1:5" ht="24">
      <c r="A51" s="9"/>
      <c r="B51" s="18" t="s">
        <v>34</v>
      </c>
      <c r="C51" s="39">
        <f>SUM(C47:C50)</f>
        <v>110</v>
      </c>
      <c r="D51" s="11">
        <f>SUM(D47:D50)</f>
        <v>133</v>
      </c>
      <c r="E51" s="19">
        <f t="shared" si="1"/>
        <v>243</v>
      </c>
    </row>
    <row r="52" spans="1:5" ht="12.75">
      <c r="A52" s="9" t="s">
        <v>35</v>
      </c>
      <c r="B52" s="18" t="s">
        <v>36</v>
      </c>
      <c r="C52" s="41">
        <f>C45+C51</f>
        <v>2096</v>
      </c>
      <c r="D52" s="20">
        <f>D45+D51</f>
        <v>662</v>
      </c>
      <c r="E52" s="12">
        <f t="shared" si="1"/>
        <v>2758</v>
      </c>
    </row>
    <row r="53" spans="1:5" ht="12.75">
      <c r="A53" s="9"/>
      <c r="B53" s="10"/>
      <c r="C53" s="40"/>
      <c r="D53" s="14"/>
      <c r="E53" s="15"/>
    </row>
    <row r="54" spans="1:5" ht="12.75">
      <c r="A54" s="9"/>
      <c r="B54" s="10" t="s">
        <v>37</v>
      </c>
      <c r="C54" s="40"/>
      <c r="D54" s="14"/>
      <c r="E54" s="15"/>
    </row>
    <row r="55" spans="1:5" ht="12.75">
      <c r="A55" s="9"/>
      <c r="B55" s="17" t="s">
        <v>9</v>
      </c>
      <c r="C55" s="40">
        <f>SUM('Jul '!C55,'Aug '!C55,'Sept '!C55)</f>
        <v>60</v>
      </c>
      <c r="D55" s="13">
        <f>SUM('Jul '!D55,'Aug '!D55,'Sept '!D55)</f>
        <v>21</v>
      </c>
      <c r="E55" s="15">
        <f>SUM(C55:D55)</f>
        <v>81</v>
      </c>
    </row>
    <row r="56" spans="1:5" ht="12.75">
      <c r="A56" s="9"/>
      <c r="B56" s="17" t="s">
        <v>10</v>
      </c>
      <c r="C56" s="40">
        <f>SUM('Jul '!C56,'Aug '!C56,'Sept '!C56)</f>
        <v>0</v>
      </c>
      <c r="D56" s="13">
        <f>SUM('Jul '!D56,'Aug '!D56,'Sept '!D56)</f>
        <v>0</v>
      </c>
      <c r="E56" s="15">
        <f>SUM(C56:D56)</f>
        <v>0</v>
      </c>
    </row>
    <row r="57" spans="1:5" ht="12.75">
      <c r="A57" s="9"/>
      <c r="B57" s="17" t="s">
        <v>11</v>
      </c>
      <c r="C57" s="40">
        <f>SUM('Jul '!C57,'Aug '!C57,'Sept '!C57)</f>
        <v>0</v>
      </c>
      <c r="D57" s="13">
        <f>SUM('Jul '!D57,'Aug '!D57,'Sept '!D57)</f>
        <v>0</v>
      </c>
      <c r="E57" s="15">
        <f>SUM(C57:D57)</f>
        <v>0</v>
      </c>
    </row>
    <row r="58" spans="1:5" ht="12.75">
      <c r="A58" s="9"/>
      <c r="B58" s="17" t="s">
        <v>12</v>
      </c>
      <c r="C58" s="40">
        <f>SUM('Jul '!C58,'Aug '!C58,'Sept '!C58)</f>
        <v>0</v>
      </c>
      <c r="D58" s="13">
        <f>SUM('Jul '!D58,'Aug '!D58,'Sept '!D58)</f>
        <v>0</v>
      </c>
      <c r="E58" s="15">
        <f>SUM(C58:D58)</f>
        <v>0</v>
      </c>
    </row>
    <row r="59" spans="1:5" ht="12.75">
      <c r="A59" s="9" t="s">
        <v>38</v>
      </c>
      <c r="B59" s="10" t="s">
        <v>39</v>
      </c>
      <c r="C59" s="41">
        <f>SUM(C55:C58)</f>
        <v>60</v>
      </c>
      <c r="D59" s="20">
        <f>SUM(D55:D58)</f>
        <v>21</v>
      </c>
      <c r="E59" s="12">
        <f>SUM(C59:D59)</f>
        <v>81</v>
      </c>
    </row>
    <row r="60" spans="1:5" ht="12.75">
      <c r="A60" s="9"/>
      <c r="B60" s="10"/>
      <c r="C60" s="40"/>
      <c r="D60" s="14"/>
      <c r="E60" s="15"/>
    </row>
    <row r="61" spans="1:5" ht="12.75">
      <c r="A61" s="9"/>
      <c r="B61" s="10" t="s">
        <v>40</v>
      </c>
      <c r="C61" s="40"/>
      <c r="D61" s="14"/>
      <c r="E61" s="15"/>
    </row>
    <row r="62" spans="1:5" ht="12.75">
      <c r="A62" s="9"/>
      <c r="B62" s="17" t="s">
        <v>9</v>
      </c>
      <c r="C62" s="40">
        <f>SUM('Jul '!C62,'Aug '!C62,'Sept '!C62)</f>
        <v>766</v>
      </c>
      <c r="D62" s="13">
        <f>SUM('Jul '!D62,'Aug '!D62,'Sept '!D62)</f>
        <v>63</v>
      </c>
      <c r="E62" s="15">
        <f>SUM(C62:D62)</f>
        <v>829</v>
      </c>
    </row>
    <row r="63" spans="1:5" ht="12.75">
      <c r="A63" s="9"/>
      <c r="B63" s="17" t="s">
        <v>10</v>
      </c>
      <c r="C63" s="40">
        <f>SUM('Jul '!C63,'Aug '!C63,'Sept '!C63)</f>
        <v>42</v>
      </c>
      <c r="D63" s="13">
        <f>SUM('Jul '!D63,'Aug '!D63,'Sept '!D63)</f>
        <v>3</v>
      </c>
      <c r="E63" s="15">
        <f>SUM(C63:D63)</f>
        <v>45</v>
      </c>
    </row>
    <row r="64" spans="1:5" ht="12.75">
      <c r="A64" s="9"/>
      <c r="B64" s="17" t="s">
        <v>11</v>
      </c>
      <c r="C64" s="40">
        <f>SUM('Jul '!C64,'Aug '!C64,'Sept '!C64)</f>
        <v>8</v>
      </c>
      <c r="D64" s="13">
        <f>SUM('Jul '!D64,'Aug '!D64,'Sept '!D64)</f>
        <v>0</v>
      </c>
      <c r="E64" s="15">
        <f>SUM(C64:D64)</f>
        <v>8</v>
      </c>
    </row>
    <row r="65" spans="1:5" ht="12.75">
      <c r="A65" s="9"/>
      <c r="B65" s="17" t="s">
        <v>12</v>
      </c>
      <c r="C65" s="40">
        <f>SUM('Jul '!C65,'Aug '!C65,'Sept '!C65)</f>
        <v>16</v>
      </c>
      <c r="D65" s="13">
        <f>SUM('Jul '!D65,'Aug '!D65,'Sept '!D65)</f>
        <v>0</v>
      </c>
      <c r="E65" s="15">
        <f>SUM(C65:D65)</f>
        <v>16</v>
      </c>
    </row>
    <row r="66" spans="1:5" ht="12.75">
      <c r="A66" s="9" t="s">
        <v>41</v>
      </c>
      <c r="B66" s="10" t="s">
        <v>42</v>
      </c>
      <c r="C66" s="41">
        <f>SUM(C62:C65)</f>
        <v>832</v>
      </c>
      <c r="D66" s="20">
        <f>SUM(D62:D65)</f>
        <v>66</v>
      </c>
      <c r="E66" s="12">
        <f>SUM(C66:D66)</f>
        <v>898</v>
      </c>
    </row>
    <row r="67" spans="1:5" ht="12.75">
      <c r="A67" s="9"/>
      <c r="B67" s="10"/>
      <c r="C67" s="40"/>
      <c r="D67" s="14"/>
      <c r="E67" s="15"/>
    </row>
    <row r="68" spans="1:5" ht="12.75">
      <c r="A68" s="9" t="s">
        <v>43</v>
      </c>
      <c r="B68" s="10" t="s">
        <v>44</v>
      </c>
      <c r="C68" s="40">
        <f>SUM('Jul '!C68,'Aug '!C68,'Sept '!C68)</f>
        <v>393</v>
      </c>
      <c r="D68" s="13">
        <f>SUM('Jul '!D68,'Aug '!D68,'Sept '!D68)</f>
        <v>14</v>
      </c>
      <c r="E68" s="12">
        <f>SUM(C68:D68)</f>
        <v>407</v>
      </c>
    </row>
    <row r="69" spans="1:5" ht="12.75">
      <c r="A69" s="9"/>
      <c r="B69" s="10"/>
      <c r="C69" s="40"/>
      <c r="D69" s="14"/>
      <c r="E69" s="15"/>
    </row>
    <row r="70" spans="1:5" ht="12.75">
      <c r="A70" s="9"/>
      <c r="B70" s="10" t="s">
        <v>45</v>
      </c>
      <c r="C70" s="40"/>
      <c r="D70" s="14"/>
      <c r="E70" s="15"/>
    </row>
    <row r="71" spans="1:5" ht="12.75">
      <c r="A71" s="9" t="s">
        <v>46</v>
      </c>
      <c r="B71" s="25" t="s">
        <v>47</v>
      </c>
      <c r="C71" s="40">
        <f>SUM('Jul '!C71,'Aug '!C71,'Sept '!C71)</f>
        <v>79</v>
      </c>
      <c r="D71" s="13">
        <f>SUM('Jul '!D71,'Aug '!D71,'Sept '!D71)</f>
        <v>105</v>
      </c>
      <c r="E71" s="15">
        <f aca="true" t="shared" si="2" ref="E71:E77">SUM(C71:D71)</f>
        <v>184</v>
      </c>
    </row>
    <row r="72" spans="1:5" ht="12.75">
      <c r="A72" s="9" t="s">
        <v>48</v>
      </c>
      <c r="B72" s="25" t="s">
        <v>49</v>
      </c>
      <c r="C72" s="40">
        <f>SUM('Jul '!C72,'Aug '!C72,'Sept '!C72)</f>
        <v>529</v>
      </c>
      <c r="D72" s="13">
        <f>SUM('Jul '!D72,'Aug '!D72,'Sept '!D72)</f>
        <v>557</v>
      </c>
      <c r="E72" s="15">
        <f t="shared" si="2"/>
        <v>1086</v>
      </c>
    </row>
    <row r="73" spans="1:5" ht="12.75">
      <c r="A73" s="9" t="s">
        <v>50</v>
      </c>
      <c r="B73" s="25" t="s">
        <v>51</v>
      </c>
      <c r="C73" s="40">
        <f>SUM('Jul '!C73,'Aug '!C73,'Sept '!C73)</f>
        <v>397</v>
      </c>
      <c r="D73" s="13">
        <f>SUM('Jul '!D73,'Aug '!D73,'Sept '!D73)</f>
        <v>697</v>
      </c>
      <c r="E73" s="15">
        <f t="shared" si="2"/>
        <v>1094</v>
      </c>
    </row>
    <row r="74" spans="1:5" ht="12.75">
      <c r="A74" s="9" t="s">
        <v>52</v>
      </c>
      <c r="B74" s="25" t="s">
        <v>53</v>
      </c>
      <c r="C74" s="40">
        <f>SUM('Jul '!C74,'Aug '!C74,'Sept '!C74)</f>
        <v>1650</v>
      </c>
      <c r="D74" s="13">
        <f>SUM('Jul '!D74,'Aug '!D74,'Sept '!D74)</f>
        <v>2135</v>
      </c>
      <c r="E74" s="15">
        <f t="shared" si="2"/>
        <v>3785</v>
      </c>
    </row>
    <row r="75" spans="1:5" ht="12.75">
      <c r="A75" s="9" t="s">
        <v>54</v>
      </c>
      <c r="B75" s="25" t="s">
        <v>55</v>
      </c>
      <c r="C75" s="41">
        <f>SUM(C71:C74)</f>
        <v>2655</v>
      </c>
      <c r="D75" s="20">
        <f>SUM(D71:D74)</f>
        <v>3494</v>
      </c>
      <c r="E75" s="12">
        <f t="shared" si="2"/>
        <v>6149</v>
      </c>
    </row>
    <row r="76" spans="1:5" ht="12.75">
      <c r="A76" s="21" t="s">
        <v>56</v>
      </c>
      <c r="B76" s="22" t="s">
        <v>27</v>
      </c>
      <c r="C76" s="42">
        <f>SUM('Jul '!C76,'Aug '!C76,'Sept '!C76)</f>
        <v>259</v>
      </c>
      <c r="D76" s="23">
        <f>SUM('Jul '!D76,'Aug '!D76,'Sept '!D76)</f>
        <v>37</v>
      </c>
      <c r="E76" s="34">
        <f t="shared" si="2"/>
        <v>296</v>
      </c>
    </row>
    <row r="77" spans="1:5" ht="12.75">
      <c r="A77" s="9" t="s">
        <v>57</v>
      </c>
      <c r="B77" s="10" t="s">
        <v>58</v>
      </c>
      <c r="C77" s="41">
        <f>C75-C76</f>
        <v>2396</v>
      </c>
      <c r="D77" s="20">
        <f>D75-D76</f>
        <v>3457</v>
      </c>
      <c r="E77" s="12">
        <f t="shared" si="2"/>
        <v>5853</v>
      </c>
    </row>
    <row r="78" spans="1:5" ht="12.75">
      <c r="A78" s="9"/>
      <c r="B78" s="10"/>
      <c r="C78" s="40"/>
      <c r="D78" s="14"/>
      <c r="E78" s="15"/>
    </row>
    <row r="79" spans="1:5" ht="24">
      <c r="A79" s="9" t="s">
        <v>59</v>
      </c>
      <c r="B79" s="10" t="s">
        <v>60</v>
      </c>
      <c r="C79" s="41">
        <f>C52+C59+C66+C68+C77</f>
        <v>5777</v>
      </c>
      <c r="D79" s="20">
        <f>D52+D59+D66+D68+D77</f>
        <v>4220</v>
      </c>
      <c r="E79" s="12">
        <f>SUM(C79:D79)</f>
        <v>9997</v>
      </c>
    </row>
    <row r="80" spans="1:5" ht="12.75">
      <c r="A80" s="9"/>
      <c r="B80" s="27"/>
      <c r="C80" s="40"/>
      <c r="D80" s="14"/>
      <c r="E80" s="15"/>
    </row>
    <row r="81" spans="1:5" ht="12.75">
      <c r="A81" s="9" t="s">
        <v>61</v>
      </c>
      <c r="B81" s="10" t="s">
        <v>62</v>
      </c>
      <c r="C81" s="40">
        <f>SUM('Jul '!C81,'Aug '!C81,'Sept '!C81)</f>
        <v>51</v>
      </c>
      <c r="D81" s="13">
        <f>SUM('Jul '!D81,'Aug '!D81,'Sept '!D81)</f>
        <v>32</v>
      </c>
      <c r="E81" s="12">
        <f>SUM(C81:D81)</f>
        <v>83</v>
      </c>
    </row>
    <row r="82" spans="1:5" ht="12.75">
      <c r="A82" s="9"/>
      <c r="B82" s="27"/>
      <c r="C82" s="40"/>
      <c r="D82" s="14"/>
      <c r="E82" s="15"/>
    </row>
    <row r="83" spans="1:5" ht="24">
      <c r="A83" s="9" t="s">
        <v>63</v>
      </c>
      <c r="B83" s="10" t="s">
        <v>64</v>
      </c>
      <c r="C83" s="41">
        <f>C79+C81</f>
        <v>5828</v>
      </c>
      <c r="D83" s="20">
        <f>D79+D81</f>
        <v>4252</v>
      </c>
      <c r="E83" s="12">
        <f>SUM(C83:D83)</f>
        <v>10080</v>
      </c>
    </row>
    <row r="84" spans="1:5" ht="12.75">
      <c r="A84" s="9"/>
      <c r="B84" s="27"/>
      <c r="C84" s="40"/>
      <c r="D84" s="14"/>
      <c r="E84" s="15"/>
    </row>
    <row r="85" spans="1:5" ht="13.5" thickBot="1">
      <c r="A85" s="28" t="s">
        <v>65</v>
      </c>
      <c r="B85" s="29" t="s">
        <v>66</v>
      </c>
      <c r="C85" s="43">
        <f>+C8+C37-C83</f>
        <v>615</v>
      </c>
      <c r="D85" s="43">
        <f>+D8+D37-D83</f>
        <v>768</v>
      </c>
      <c r="E85" s="30">
        <f>SUM(C85:D85)</f>
        <v>1383</v>
      </c>
    </row>
    <row r="86" spans="1:5" ht="30" customHeight="1">
      <c r="A86" s="69" t="s">
        <v>67</v>
      </c>
      <c r="B86" s="70"/>
      <c r="C86" s="35">
        <f>(C8+C35)-(C76+C83)</f>
        <v>615</v>
      </c>
      <c r="D86" s="35">
        <f>(D8+D35)-(D76+D83)</f>
        <v>768</v>
      </c>
      <c r="E86" s="35">
        <f>(E8+E35)-(E76+E83)</f>
        <v>1383</v>
      </c>
    </row>
    <row r="87" spans="1:5" ht="42.75" customHeight="1">
      <c r="A87" s="67" t="s">
        <v>68</v>
      </c>
      <c r="B87" s="68"/>
      <c r="C87" s="68"/>
      <c r="D87" s="68"/>
      <c r="E87" s="68"/>
    </row>
    <row r="88" spans="1:5" ht="12.75">
      <c r="A88" s="36"/>
      <c r="B88" s="37"/>
      <c r="C88" s="37"/>
      <c r="D88" s="37"/>
      <c r="E88" s="37"/>
    </row>
    <row r="89" spans="1:5" ht="15" customHeight="1">
      <c r="A89" s="62" t="s">
        <v>69</v>
      </c>
      <c r="B89" s="63"/>
      <c r="C89" s="63"/>
      <c r="D89" s="63"/>
      <c r="E89" s="63"/>
    </row>
    <row r="90" ht="12.75">
      <c r="A90" s="31"/>
    </row>
    <row r="91" spans="1:5" ht="45.75" customHeight="1">
      <c r="A91" s="58" t="s">
        <v>70</v>
      </c>
      <c r="B91" s="59"/>
      <c r="C91" s="59"/>
      <c r="D91" s="59"/>
      <c r="E91" s="59"/>
    </row>
    <row r="92" ht="15" customHeight="1">
      <c r="A92" s="32"/>
    </row>
    <row r="93" ht="15.75">
      <c r="A93" s="33" t="s">
        <v>93</v>
      </c>
    </row>
  </sheetData>
  <sheetProtection/>
  <mergeCells count="6">
    <mergeCell ref="A91:E91"/>
    <mergeCell ref="A1:E1"/>
    <mergeCell ref="A89:E89"/>
    <mergeCell ref="C6:E6"/>
    <mergeCell ref="A87:E87"/>
    <mergeCell ref="A86:B86"/>
  </mergeCells>
  <printOptions/>
  <pageMargins left="0.25" right="0.25" top="0.8" bottom="0.33" header="0.48" footer="0.21"/>
  <pageSetup fitToHeight="1" fitToWidth="1" horizontalDpi="600" verticalDpi="600" orientation="portrait" paperSize="5" scale="82"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1">
      <selection activeCell="C19" sqref="C19"/>
    </sheetView>
  </sheetViews>
  <sheetFormatPr defaultColWidth="8.8515625" defaultRowHeight="12.75"/>
  <cols>
    <col min="1" max="1" width="2.8515625" style="0" customWidth="1"/>
    <col min="2" max="2" width="69.8515625" style="0" customWidth="1"/>
  </cols>
  <sheetData>
    <row r="1" spans="1:5" ht="18">
      <c r="A1" s="60" t="s">
        <v>71</v>
      </c>
      <c r="B1" s="61"/>
      <c r="C1" s="61"/>
      <c r="D1" s="61"/>
      <c r="E1" s="61"/>
    </row>
    <row r="2" ht="15.75">
      <c r="A2" s="2" t="s">
        <v>0</v>
      </c>
    </row>
    <row r="3" ht="15.75">
      <c r="A3" s="2" t="s">
        <v>1</v>
      </c>
    </row>
    <row r="4" ht="15.75">
      <c r="A4" s="44" t="str">
        <f>+'Jan '!A4</f>
        <v>YEAR: 1/1/2010 - 12/31/2010</v>
      </c>
    </row>
    <row r="5" ht="13.5" thickBot="1">
      <c r="A5" s="3"/>
    </row>
    <row r="6" spans="1:5" ht="13.5" thickBot="1">
      <c r="A6" s="4"/>
      <c r="B6" s="5" t="str">
        <f>+'Jan '!B6</f>
        <v>NAME OF ORGANIZATION:  Miami Dade Coalition</v>
      </c>
      <c r="C6" s="74" t="s">
        <v>92</v>
      </c>
      <c r="D6" s="72"/>
      <c r="E6" s="73"/>
    </row>
    <row r="7" spans="1:5" ht="12.75">
      <c r="A7" s="4"/>
      <c r="B7" s="6"/>
      <c r="C7" s="38" t="s">
        <v>2</v>
      </c>
      <c r="D7" s="7" t="s">
        <v>3</v>
      </c>
      <c r="E7" s="8" t="s">
        <v>4</v>
      </c>
    </row>
    <row r="8" spans="1:5" ht="12.75">
      <c r="A8" s="9" t="s">
        <v>5</v>
      </c>
      <c r="B8" s="10" t="s">
        <v>6</v>
      </c>
      <c r="C8" s="39">
        <f>+'Sept '!C85</f>
        <v>615</v>
      </c>
      <c r="D8" s="11">
        <f>+'Sept '!D85</f>
        <v>768</v>
      </c>
      <c r="E8" s="12">
        <f>SUM(C8:D8)</f>
        <v>1383</v>
      </c>
    </row>
    <row r="9" spans="1:5" ht="12.75">
      <c r="A9" s="9"/>
      <c r="B9" s="10"/>
      <c r="C9" s="40"/>
      <c r="D9" s="14"/>
      <c r="E9" s="12"/>
    </row>
    <row r="10" spans="1:5" ht="12.75">
      <c r="A10" s="9"/>
      <c r="B10" s="10" t="s">
        <v>7</v>
      </c>
      <c r="C10" s="40"/>
      <c r="D10" s="14"/>
      <c r="E10" s="15"/>
    </row>
    <row r="11" spans="1:5" ht="12.75">
      <c r="A11" s="9"/>
      <c r="B11" s="16" t="s">
        <v>8</v>
      </c>
      <c r="C11" s="40"/>
      <c r="D11" s="14"/>
      <c r="E11" s="15"/>
    </row>
    <row r="12" spans="1:5" ht="12.75">
      <c r="A12" s="9"/>
      <c r="B12" s="17" t="s">
        <v>9</v>
      </c>
      <c r="C12" s="40">
        <f>747+70+29</f>
        <v>846</v>
      </c>
      <c r="D12" s="14">
        <f>506+38+37</f>
        <v>581</v>
      </c>
      <c r="E12" s="15">
        <f>SUM(C12:D12)</f>
        <v>1427</v>
      </c>
    </row>
    <row r="13" spans="1:5" ht="12.75">
      <c r="A13" s="9"/>
      <c r="B13" s="17" t="s">
        <v>10</v>
      </c>
      <c r="C13" s="40">
        <f>111+8</f>
        <v>119</v>
      </c>
      <c r="D13" s="14">
        <v>257</v>
      </c>
      <c r="E13" s="15">
        <f>SUM(C13:D13)</f>
        <v>376</v>
      </c>
    </row>
    <row r="14" spans="1:5" ht="12.75">
      <c r="A14" s="9"/>
      <c r="B14" s="17" t="s">
        <v>11</v>
      </c>
      <c r="C14" s="40">
        <v>207</v>
      </c>
      <c r="D14" s="14">
        <v>249</v>
      </c>
      <c r="E14" s="15">
        <f>SUM(C14:D14)</f>
        <v>456</v>
      </c>
    </row>
    <row r="15" spans="1:5" ht="12.75">
      <c r="A15" s="9"/>
      <c r="B15" s="17" t="s">
        <v>12</v>
      </c>
      <c r="C15" s="40">
        <v>524</v>
      </c>
      <c r="D15" s="14">
        <v>251</v>
      </c>
      <c r="E15" s="15">
        <f>SUM(C15:D15)</f>
        <v>775</v>
      </c>
    </row>
    <row r="16" spans="1:5" ht="12.75">
      <c r="A16" s="9" t="s">
        <v>13</v>
      </c>
      <c r="B16" s="18" t="s">
        <v>14</v>
      </c>
      <c r="C16" s="50">
        <f>SUM(C12:C15)</f>
        <v>1696</v>
      </c>
      <c r="D16" s="11">
        <f>SUM(D12:D15)</f>
        <v>1338</v>
      </c>
      <c r="E16" s="19">
        <f>SUM(C16:D16)</f>
        <v>3034</v>
      </c>
    </row>
    <row r="17" spans="1:5" ht="12.75">
      <c r="A17" s="9"/>
      <c r="B17" s="16" t="s">
        <v>15</v>
      </c>
      <c r="C17" s="40"/>
      <c r="D17" s="14"/>
      <c r="E17" s="15"/>
    </row>
    <row r="18" spans="1:5" ht="12.75">
      <c r="A18" s="9"/>
      <c r="B18" s="17" t="s">
        <v>9</v>
      </c>
      <c r="C18" s="40">
        <v>38</v>
      </c>
      <c r="D18" s="14"/>
      <c r="E18" s="15">
        <f>SUM(C18:D18)</f>
        <v>38</v>
      </c>
    </row>
    <row r="19" spans="1:5" ht="12.75">
      <c r="A19" s="9"/>
      <c r="B19" s="17" t="s">
        <v>10</v>
      </c>
      <c r="C19" s="40"/>
      <c r="D19" s="14"/>
      <c r="E19" s="15">
        <f>SUM(C19:D19)</f>
        <v>0</v>
      </c>
    </row>
    <row r="20" spans="1:5" ht="12.75">
      <c r="A20" s="9"/>
      <c r="B20" s="17" t="s">
        <v>11</v>
      </c>
      <c r="C20" s="40"/>
      <c r="D20" s="14"/>
      <c r="E20" s="15">
        <f>SUM(C20:D20)</f>
        <v>0</v>
      </c>
    </row>
    <row r="21" spans="1:5" ht="12.75">
      <c r="A21" s="9"/>
      <c r="B21" s="17" t="s">
        <v>12</v>
      </c>
      <c r="C21" s="40">
        <v>4</v>
      </c>
      <c r="D21" s="14"/>
      <c r="E21" s="15">
        <f>SUM(C21:D21)</f>
        <v>4</v>
      </c>
    </row>
    <row r="22" spans="1:5" ht="12.75">
      <c r="A22" s="9" t="s">
        <v>16</v>
      </c>
      <c r="B22" s="18" t="s">
        <v>95</v>
      </c>
      <c r="C22" s="50">
        <f>SUM(C17:C21)</f>
        <v>42</v>
      </c>
      <c r="D22" s="11">
        <f>SUM(D17:D21)</f>
        <v>0</v>
      </c>
      <c r="E22" s="19">
        <f>SUM(C22:D22)</f>
        <v>42</v>
      </c>
    </row>
    <row r="23" spans="1:5" ht="12.75">
      <c r="A23" s="9"/>
      <c r="B23" s="16" t="s">
        <v>18</v>
      </c>
      <c r="C23" s="40"/>
      <c r="D23" s="14"/>
      <c r="E23" s="15"/>
    </row>
    <row r="24" spans="1:5" ht="12.75">
      <c r="A24" s="9"/>
      <c r="B24" s="17" t="s">
        <v>9</v>
      </c>
      <c r="C24" s="40">
        <v>1</v>
      </c>
      <c r="D24" s="14"/>
      <c r="E24" s="15">
        <f>SUM(C24:D24)</f>
        <v>1</v>
      </c>
    </row>
    <row r="25" spans="1:5" ht="12.75">
      <c r="A25" s="9"/>
      <c r="B25" s="17" t="s">
        <v>10</v>
      </c>
      <c r="C25" s="40" t="s">
        <v>105</v>
      </c>
      <c r="D25" s="14"/>
      <c r="E25" s="15">
        <f>SUM(C25:D25)</f>
        <v>0</v>
      </c>
    </row>
    <row r="26" spans="1:5" ht="12.75">
      <c r="A26" s="9"/>
      <c r="B26" s="17" t="s">
        <v>11</v>
      </c>
      <c r="C26" s="40"/>
      <c r="D26" s="14"/>
      <c r="E26" s="15">
        <f>SUM(C26:D26)</f>
        <v>0</v>
      </c>
    </row>
    <row r="27" spans="1:5" ht="12.75">
      <c r="A27" s="9"/>
      <c r="B27" s="17" t="s">
        <v>12</v>
      </c>
      <c r="C27" s="40"/>
      <c r="D27" s="14"/>
      <c r="E27" s="15">
        <f>SUM(C27:D27)</f>
        <v>0</v>
      </c>
    </row>
    <row r="28" spans="1:5" ht="12.75">
      <c r="A28" s="9" t="s">
        <v>19</v>
      </c>
      <c r="B28" s="18" t="s">
        <v>96</v>
      </c>
      <c r="C28" s="39">
        <f>SUM(C24:C27)</f>
        <v>1</v>
      </c>
      <c r="D28" s="11">
        <f>SUM(D24:D27)</f>
        <v>0</v>
      </c>
      <c r="E28" s="19">
        <f>SUM(C28:D28)</f>
        <v>1</v>
      </c>
    </row>
    <row r="29" spans="1:5" ht="12.75">
      <c r="A29" s="9"/>
      <c r="B29" s="16" t="s">
        <v>21</v>
      </c>
      <c r="C29" s="40"/>
      <c r="D29" s="14"/>
      <c r="E29" s="15"/>
    </row>
    <row r="30" spans="1:5" ht="12.75">
      <c r="A30" s="9"/>
      <c r="B30" s="17" t="s">
        <v>9</v>
      </c>
      <c r="C30" s="40"/>
      <c r="D30" s="14"/>
      <c r="E30" s="15">
        <f aca="true" t="shared" si="0" ref="E30:E37">SUM(C30:D30)</f>
        <v>0</v>
      </c>
    </row>
    <row r="31" spans="1:5" ht="12.75">
      <c r="A31" s="9"/>
      <c r="B31" s="17" t="s">
        <v>10</v>
      </c>
      <c r="C31" s="40"/>
      <c r="D31" s="14"/>
      <c r="E31" s="15">
        <f t="shared" si="0"/>
        <v>0</v>
      </c>
    </row>
    <row r="32" spans="1:5" ht="12.75">
      <c r="A32" s="9"/>
      <c r="B32" s="17" t="s">
        <v>11</v>
      </c>
      <c r="C32" s="40"/>
      <c r="D32" s="14"/>
      <c r="E32" s="15">
        <f t="shared" si="0"/>
        <v>0</v>
      </c>
    </row>
    <row r="33" spans="1:5" ht="12.75">
      <c r="A33" s="9"/>
      <c r="B33" s="17" t="s">
        <v>12</v>
      </c>
      <c r="C33" s="40">
        <v>96</v>
      </c>
      <c r="D33" s="14">
        <v>13</v>
      </c>
      <c r="E33" s="15">
        <f t="shared" si="0"/>
        <v>109</v>
      </c>
    </row>
    <row r="34" spans="1:5" ht="12.75">
      <c r="A34" s="9" t="s">
        <v>22</v>
      </c>
      <c r="B34" s="18" t="s">
        <v>23</v>
      </c>
      <c r="C34" s="39">
        <f>SUM(C30:C33)</f>
        <v>96</v>
      </c>
      <c r="D34" s="11">
        <f>SUM(D30:D33)</f>
        <v>13</v>
      </c>
      <c r="E34" s="19">
        <f t="shared" si="0"/>
        <v>109</v>
      </c>
    </row>
    <row r="35" spans="1:5" ht="15">
      <c r="A35" s="9" t="s">
        <v>24</v>
      </c>
      <c r="B35" s="46" t="s">
        <v>97</v>
      </c>
      <c r="C35" s="47">
        <f>C16+C22+C28+C34</f>
        <v>1835</v>
      </c>
      <c r="D35" s="48">
        <f>D16+D22+D28+D34</f>
        <v>1351</v>
      </c>
      <c r="E35" s="49">
        <f t="shared" si="0"/>
        <v>3186</v>
      </c>
    </row>
    <row r="36" spans="1:5" ht="12.75">
      <c r="A36" s="21" t="s">
        <v>26</v>
      </c>
      <c r="B36" s="22" t="s">
        <v>27</v>
      </c>
      <c r="C36" s="42">
        <f>+C33</f>
        <v>96</v>
      </c>
      <c r="D36" s="24">
        <f>+D33</f>
        <v>13</v>
      </c>
      <c r="E36" s="34">
        <f t="shared" si="0"/>
        <v>109</v>
      </c>
    </row>
    <row r="37" spans="1:5" ht="15">
      <c r="A37" s="9" t="s">
        <v>28</v>
      </c>
      <c r="B37" s="46" t="s">
        <v>98</v>
      </c>
      <c r="C37" s="47">
        <f>C35-C36</f>
        <v>1739</v>
      </c>
      <c r="D37" s="48">
        <f>D35-D36</f>
        <v>1338</v>
      </c>
      <c r="E37" s="49">
        <f t="shared" si="0"/>
        <v>3077</v>
      </c>
    </row>
    <row r="38" spans="1:5" ht="12.75">
      <c r="A38" s="9"/>
      <c r="B38" s="25"/>
      <c r="C38" s="40"/>
      <c r="D38" s="14"/>
      <c r="E38" s="15"/>
    </row>
    <row r="39" spans="1:5" ht="12.75">
      <c r="A39" s="9"/>
      <c r="B39" s="10" t="s">
        <v>30</v>
      </c>
      <c r="C39" s="40"/>
      <c r="D39" s="14"/>
      <c r="E39" s="15"/>
    </row>
    <row r="40" spans="1:5" ht="12.75">
      <c r="A40" s="9"/>
      <c r="B40" s="26" t="s">
        <v>31</v>
      </c>
      <c r="C40" s="40"/>
      <c r="D40" s="14"/>
      <c r="E40" s="15"/>
    </row>
    <row r="41" spans="1:5" ht="12.75">
      <c r="A41" s="9"/>
      <c r="B41" s="17" t="s">
        <v>9</v>
      </c>
      <c r="C41" s="40">
        <f>413+76</f>
        <v>489</v>
      </c>
      <c r="D41" s="14">
        <f>164+33</f>
        <v>197</v>
      </c>
      <c r="E41" s="15">
        <f>SUM(C41:D41)</f>
        <v>686</v>
      </c>
    </row>
    <row r="42" spans="1:5" ht="12.75">
      <c r="A42" s="9"/>
      <c r="B42" s="17" t="s">
        <v>10</v>
      </c>
      <c r="C42" s="40">
        <v>188</v>
      </c>
      <c r="D42" s="14">
        <v>15</v>
      </c>
      <c r="E42" s="15">
        <f>SUM(C42:D42)</f>
        <v>203</v>
      </c>
    </row>
    <row r="43" spans="1:5" ht="12.75">
      <c r="A43" s="9"/>
      <c r="B43" s="17" t="s">
        <v>11</v>
      </c>
      <c r="C43" s="40">
        <v>19</v>
      </c>
      <c r="D43" s="14">
        <v>4</v>
      </c>
      <c r="E43" s="15">
        <f>SUM(C43:D43)</f>
        <v>23</v>
      </c>
    </row>
    <row r="44" spans="1:5" ht="12.75">
      <c r="A44" s="9"/>
      <c r="B44" s="17" t="s">
        <v>12</v>
      </c>
      <c r="C44" s="40">
        <v>6</v>
      </c>
      <c r="D44" s="14">
        <v>0</v>
      </c>
      <c r="E44" s="15">
        <f>SUM(C44:D44)</f>
        <v>6</v>
      </c>
    </row>
    <row r="45" spans="1:5" ht="12.75">
      <c r="A45" s="9"/>
      <c r="B45" s="18" t="s">
        <v>99</v>
      </c>
      <c r="C45" s="50">
        <f>SUM(C41:C44)</f>
        <v>702</v>
      </c>
      <c r="D45" s="11">
        <f>SUM(D41:D44)</f>
        <v>216</v>
      </c>
      <c r="E45" s="19">
        <f>SUM(C45:D45)</f>
        <v>918</v>
      </c>
    </row>
    <row r="46" spans="1:5" ht="12.75">
      <c r="A46" s="9"/>
      <c r="B46" s="26" t="s">
        <v>33</v>
      </c>
      <c r="C46" s="40"/>
      <c r="D46" s="14"/>
      <c r="E46" s="15"/>
    </row>
    <row r="47" spans="1:5" ht="12.75">
      <c r="A47" s="9"/>
      <c r="B47" s="17" t="s">
        <v>9</v>
      </c>
      <c r="C47" s="40">
        <v>36</v>
      </c>
      <c r="D47" s="14">
        <v>54</v>
      </c>
      <c r="E47" s="15">
        <f aca="true" t="shared" si="1" ref="E47:E52">SUM(C47:D47)</f>
        <v>90</v>
      </c>
    </row>
    <row r="48" spans="1:5" ht="12.75">
      <c r="A48" s="9"/>
      <c r="B48" s="17" t="s">
        <v>10</v>
      </c>
      <c r="C48" s="40">
        <v>7</v>
      </c>
      <c r="D48" s="14"/>
      <c r="E48" s="15">
        <f t="shared" si="1"/>
        <v>7</v>
      </c>
    </row>
    <row r="49" spans="1:5" ht="12.75">
      <c r="A49" s="9"/>
      <c r="B49" s="17" t="s">
        <v>11</v>
      </c>
      <c r="C49" s="40"/>
      <c r="D49" s="14"/>
      <c r="E49" s="15">
        <f t="shared" si="1"/>
        <v>0</v>
      </c>
    </row>
    <row r="50" spans="1:5" ht="12.75">
      <c r="A50" s="9"/>
      <c r="B50" s="17" t="s">
        <v>12</v>
      </c>
      <c r="C50" s="40"/>
      <c r="D50" s="14"/>
      <c r="E50" s="15">
        <f t="shared" si="1"/>
        <v>0</v>
      </c>
    </row>
    <row r="51" spans="1:5" ht="24">
      <c r="A51" s="9"/>
      <c r="B51" s="18" t="s">
        <v>100</v>
      </c>
      <c r="C51" s="50">
        <f>SUM(C47:C50)</f>
        <v>43</v>
      </c>
      <c r="D51" s="11">
        <f>SUM(D47:D50)</f>
        <v>54</v>
      </c>
      <c r="E51" s="19">
        <f t="shared" si="1"/>
        <v>97</v>
      </c>
    </row>
    <row r="52" spans="1:5" ht="12.75">
      <c r="A52" s="54" t="s">
        <v>35</v>
      </c>
      <c r="B52" s="55" t="s">
        <v>36</v>
      </c>
      <c r="C52" s="51">
        <f>+C51+C45</f>
        <v>745</v>
      </c>
      <c r="D52" s="20">
        <f>+D51+D45</f>
        <v>270</v>
      </c>
      <c r="E52" s="12">
        <f t="shared" si="1"/>
        <v>1015</v>
      </c>
    </row>
    <row r="53" spans="1:5" ht="12.75">
      <c r="A53" s="9"/>
      <c r="B53" s="10"/>
      <c r="C53" s="40"/>
      <c r="D53" s="14"/>
      <c r="E53" s="15"/>
    </row>
    <row r="54" spans="1:5" ht="12.75">
      <c r="A54" s="9"/>
      <c r="B54" s="10" t="s">
        <v>37</v>
      </c>
      <c r="C54" s="40"/>
      <c r="D54" s="14"/>
      <c r="E54" s="15"/>
    </row>
    <row r="55" spans="1:5" ht="12.75">
      <c r="A55" s="9"/>
      <c r="B55" s="17" t="s">
        <v>9</v>
      </c>
      <c r="C55" s="40">
        <v>38</v>
      </c>
      <c r="D55" s="14"/>
      <c r="E55" s="15">
        <f>SUM(C55:D55)</f>
        <v>38</v>
      </c>
    </row>
    <row r="56" spans="1:5" ht="12.75">
      <c r="A56" s="9"/>
      <c r="B56" s="17" t="s">
        <v>10</v>
      </c>
      <c r="C56" s="40"/>
      <c r="D56" s="14"/>
      <c r="E56" s="15">
        <f>SUM(C56:D56)</f>
        <v>0</v>
      </c>
    </row>
    <row r="57" spans="1:5" ht="12.75">
      <c r="A57" s="9"/>
      <c r="B57" s="17" t="s">
        <v>11</v>
      </c>
      <c r="C57" s="40"/>
      <c r="D57" s="14"/>
      <c r="E57" s="15">
        <f>SUM(C57:D57)</f>
        <v>0</v>
      </c>
    </row>
    <row r="58" spans="1:5" ht="12.75">
      <c r="A58" s="9"/>
      <c r="B58" s="17" t="s">
        <v>12</v>
      </c>
      <c r="C58" s="40">
        <v>4</v>
      </c>
      <c r="D58" s="14"/>
      <c r="E58" s="15">
        <f>SUM(C58:D58)</f>
        <v>4</v>
      </c>
    </row>
    <row r="59" spans="1:5" ht="12.75">
      <c r="A59" s="54" t="s">
        <v>38</v>
      </c>
      <c r="B59" s="57" t="s">
        <v>101</v>
      </c>
      <c r="C59" s="41">
        <f>SUM(C55:C58)</f>
        <v>42</v>
      </c>
      <c r="D59" s="20">
        <f>SUM(D55:D58)</f>
        <v>0</v>
      </c>
      <c r="E59" s="12">
        <f>SUM(C59:D59)</f>
        <v>42</v>
      </c>
    </row>
    <row r="60" spans="1:5" ht="12.75">
      <c r="A60" s="9"/>
      <c r="B60" s="10"/>
      <c r="C60" s="40"/>
      <c r="D60" s="14"/>
      <c r="E60" s="15"/>
    </row>
    <row r="61" spans="1:5" ht="12.75">
      <c r="A61" s="9"/>
      <c r="B61" s="10" t="s">
        <v>40</v>
      </c>
      <c r="C61" s="40"/>
      <c r="D61" s="14"/>
      <c r="E61" s="15"/>
    </row>
    <row r="62" spans="1:5" ht="12.75">
      <c r="A62" s="9"/>
      <c r="B62" s="17" t="s">
        <v>9</v>
      </c>
      <c r="C62" s="40">
        <v>273</v>
      </c>
      <c r="D62" s="14">
        <v>58</v>
      </c>
      <c r="E62" s="15">
        <f>SUM(C62:D62)</f>
        <v>331</v>
      </c>
    </row>
    <row r="63" spans="1:5" ht="12.75">
      <c r="A63" s="9"/>
      <c r="B63" s="17" t="s">
        <v>10</v>
      </c>
      <c r="C63" s="40">
        <v>15</v>
      </c>
      <c r="D63" s="14">
        <v>2</v>
      </c>
      <c r="E63" s="15">
        <f>SUM(C63:D63)</f>
        <v>17</v>
      </c>
    </row>
    <row r="64" spans="1:5" ht="12.75">
      <c r="A64" s="9"/>
      <c r="B64" s="17" t="s">
        <v>11</v>
      </c>
      <c r="C64" s="40">
        <v>3</v>
      </c>
      <c r="D64" s="14"/>
      <c r="E64" s="15">
        <f>SUM(C64:D64)</f>
        <v>3</v>
      </c>
    </row>
    <row r="65" spans="1:5" ht="12.75">
      <c r="A65" s="9"/>
      <c r="B65" s="17" t="s">
        <v>12</v>
      </c>
      <c r="C65" s="40">
        <v>6</v>
      </c>
      <c r="D65" s="14"/>
      <c r="E65" s="15">
        <f>SUM(C65:D65)</f>
        <v>6</v>
      </c>
    </row>
    <row r="66" spans="1:5" ht="12.75">
      <c r="A66" s="54" t="s">
        <v>41</v>
      </c>
      <c r="B66" s="57" t="s">
        <v>102</v>
      </c>
      <c r="C66" s="41">
        <f>SUM(C62:C65)</f>
        <v>297</v>
      </c>
      <c r="D66" s="20">
        <f>SUM(D62:D65)</f>
        <v>60</v>
      </c>
      <c r="E66" s="12">
        <f>SUM(C66:D66)</f>
        <v>357</v>
      </c>
    </row>
    <row r="67" spans="1:5" ht="12.75">
      <c r="A67" s="9"/>
      <c r="B67" s="10"/>
      <c r="C67" s="40"/>
      <c r="D67" s="14"/>
      <c r="E67" s="15"/>
    </row>
    <row r="68" spans="1:5" ht="12.75">
      <c r="A68" s="9" t="s">
        <v>43</v>
      </c>
      <c r="B68" s="10" t="s">
        <v>44</v>
      </c>
      <c r="C68" s="41">
        <f>127+4+1</f>
        <v>132</v>
      </c>
      <c r="D68" s="20">
        <f>4</f>
        <v>4</v>
      </c>
      <c r="E68" s="12">
        <f>SUM(C68:D68)</f>
        <v>136</v>
      </c>
    </row>
    <row r="69" spans="1:5" ht="12.75">
      <c r="A69" s="9"/>
      <c r="B69" s="10"/>
      <c r="C69" s="40"/>
      <c r="D69" s="14"/>
      <c r="E69" s="15"/>
    </row>
    <row r="70" spans="1:5" ht="12.75">
      <c r="A70" s="9"/>
      <c r="B70" s="10" t="s">
        <v>45</v>
      </c>
      <c r="C70" s="40"/>
      <c r="D70" s="14"/>
      <c r="E70" s="15"/>
    </row>
    <row r="71" spans="1:5" ht="12.75">
      <c r="A71" s="9" t="s">
        <v>46</v>
      </c>
      <c r="B71" s="25" t="s">
        <v>47</v>
      </c>
      <c r="C71" s="40">
        <v>19</v>
      </c>
      <c r="D71" s="14">
        <v>32</v>
      </c>
      <c r="E71" s="15">
        <f aca="true" t="shared" si="2" ref="E71:E77">SUM(C71:D71)</f>
        <v>51</v>
      </c>
    </row>
    <row r="72" spans="1:5" ht="12.75">
      <c r="A72" s="9" t="s">
        <v>48</v>
      </c>
      <c r="B72" s="25" t="s">
        <v>49</v>
      </c>
      <c r="C72" s="40">
        <v>129</v>
      </c>
      <c r="D72" s="14">
        <v>169</v>
      </c>
      <c r="E72" s="15">
        <f t="shared" si="2"/>
        <v>298</v>
      </c>
    </row>
    <row r="73" spans="1:5" ht="12.75">
      <c r="A73" s="9" t="s">
        <v>50</v>
      </c>
      <c r="B73" s="25" t="s">
        <v>51</v>
      </c>
      <c r="C73" s="40">
        <v>97</v>
      </c>
      <c r="D73" s="14">
        <v>213</v>
      </c>
      <c r="E73" s="15">
        <f t="shared" si="2"/>
        <v>310</v>
      </c>
    </row>
    <row r="74" spans="1:5" ht="12.75">
      <c r="A74" s="9" t="s">
        <v>52</v>
      </c>
      <c r="B74" s="25" t="s">
        <v>53</v>
      </c>
      <c r="C74" s="40">
        <f>399+4</f>
        <v>403</v>
      </c>
      <c r="D74" s="14">
        <v>647</v>
      </c>
      <c r="E74" s="15">
        <f t="shared" si="2"/>
        <v>1050</v>
      </c>
    </row>
    <row r="75" spans="1:5" ht="12.75">
      <c r="A75" s="9" t="s">
        <v>54</v>
      </c>
      <c r="B75" s="25" t="s">
        <v>55</v>
      </c>
      <c r="C75" s="41">
        <f>SUM(C71:C74)</f>
        <v>648</v>
      </c>
      <c r="D75" s="20">
        <f>SUM(D71:D74)</f>
        <v>1061</v>
      </c>
      <c r="E75" s="12">
        <f t="shared" si="2"/>
        <v>1709</v>
      </c>
    </row>
    <row r="76" spans="1:5" ht="12.75">
      <c r="A76" s="21" t="s">
        <v>56</v>
      </c>
      <c r="B76" s="22" t="s">
        <v>27</v>
      </c>
      <c r="C76" s="42">
        <f>+C36</f>
        <v>96</v>
      </c>
      <c r="D76" s="24">
        <f>+D36</f>
        <v>13</v>
      </c>
      <c r="E76" s="34">
        <f t="shared" si="2"/>
        <v>109</v>
      </c>
    </row>
    <row r="77" spans="1:5" ht="12.75">
      <c r="A77" s="9" t="s">
        <v>57</v>
      </c>
      <c r="B77" s="10" t="s">
        <v>58</v>
      </c>
      <c r="C77" s="41">
        <f>C75-C76</f>
        <v>552</v>
      </c>
      <c r="D77" s="20">
        <f>D75-D76</f>
        <v>1048</v>
      </c>
      <c r="E77" s="12">
        <f t="shared" si="2"/>
        <v>1600</v>
      </c>
    </row>
    <row r="78" spans="1:5" ht="12.75">
      <c r="A78" s="9"/>
      <c r="B78" s="10"/>
      <c r="C78" s="40"/>
      <c r="D78" s="14"/>
      <c r="E78" s="15"/>
    </row>
    <row r="79" spans="1:5" ht="24">
      <c r="A79" s="9" t="s">
        <v>59</v>
      </c>
      <c r="B79" s="10" t="s">
        <v>60</v>
      </c>
      <c r="C79" s="41">
        <f>C52+C59+C66+C68+C77</f>
        <v>1768</v>
      </c>
      <c r="D79" s="20">
        <f>D52+D59+D66+D68+D77</f>
        <v>1382</v>
      </c>
      <c r="E79" s="12">
        <f>SUM(C79:D79)</f>
        <v>3150</v>
      </c>
    </row>
    <row r="80" spans="1:5" ht="12.75">
      <c r="A80" s="9"/>
      <c r="B80" s="27"/>
      <c r="C80" s="40"/>
      <c r="D80" s="14"/>
      <c r="E80" s="15"/>
    </row>
    <row r="81" spans="1:5" ht="12.75">
      <c r="A81" s="9" t="s">
        <v>61</v>
      </c>
      <c r="B81" s="10" t="s">
        <v>62</v>
      </c>
      <c r="C81" s="41">
        <f>14+4</f>
        <v>18</v>
      </c>
      <c r="D81" s="20">
        <v>9</v>
      </c>
      <c r="E81" s="12">
        <f>SUM(C81:D81)</f>
        <v>27</v>
      </c>
    </row>
    <row r="82" spans="1:5" ht="12.75">
      <c r="A82" s="9"/>
      <c r="B82" s="27"/>
      <c r="C82" s="40"/>
      <c r="D82" s="14"/>
      <c r="E82" s="15"/>
    </row>
    <row r="83" spans="1:5" ht="24">
      <c r="A83" s="9" t="s">
        <v>63</v>
      </c>
      <c r="B83" s="10" t="s">
        <v>64</v>
      </c>
      <c r="C83" s="41">
        <f>C79+C81</f>
        <v>1786</v>
      </c>
      <c r="D83" s="20">
        <f>D79+D81</f>
        <v>1391</v>
      </c>
      <c r="E83" s="12">
        <f>SUM(C83:D83)</f>
        <v>3177</v>
      </c>
    </row>
    <row r="84" spans="1:5" ht="12.75">
      <c r="A84" s="9"/>
      <c r="B84" s="27"/>
      <c r="C84" s="40"/>
      <c r="D84" s="14"/>
      <c r="E84" s="15"/>
    </row>
    <row r="85" spans="1:5" ht="13.5" thickBot="1">
      <c r="A85" s="28" t="s">
        <v>65</v>
      </c>
      <c r="B85" s="29" t="s">
        <v>66</v>
      </c>
      <c r="C85" s="52">
        <f>+C8+C37-C83</f>
        <v>568</v>
      </c>
      <c r="D85" s="53">
        <f>+D8+D37-D83</f>
        <v>715</v>
      </c>
      <c r="E85" s="30">
        <f>SUM(C85:D85)</f>
        <v>1283</v>
      </c>
    </row>
    <row r="86" spans="1:5" ht="30" customHeight="1">
      <c r="A86" s="69" t="s">
        <v>67</v>
      </c>
      <c r="B86" s="70"/>
      <c r="C86" s="35">
        <f>(C8+C35)-(C76+C83)</f>
        <v>568</v>
      </c>
      <c r="D86" s="35">
        <f>(D8+D35)-(D76+D83)</f>
        <v>715</v>
      </c>
      <c r="E86" s="35">
        <f>(E8+E35)-(E76+E83)</f>
        <v>1283</v>
      </c>
    </row>
    <row r="87" spans="1:5" ht="42.75" customHeight="1">
      <c r="A87" s="67" t="s">
        <v>68</v>
      </c>
      <c r="B87" s="68"/>
      <c r="C87" s="68"/>
      <c r="D87" s="68"/>
      <c r="E87" s="68"/>
    </row>
    <row r="88" spans="1:5" ht="12.75">
      <c r="A88" s="36"/>
      <c r="B88" s="37"/>
      <c r="C88" s="37"/>
      <c r="D88" s="37"/>
      <c r="E88" s="37"/>
    </row>
    <row r="89" spans="1:5" ht="15" customHeight="1">
      <c r="A89" s="62" t="s">
        <v>69</v>
      </c>
      <c r="B89" s="63"/>
      <c r="C89" s="63"/>
      <c r="D89" s="63"/>
      <c r="E89" s="63"/>
    </row>
    <row r="90" ht="12.75">
      <c r="A90" s="31"/>
    </row>
    <row r="91" spans="1:5" ht="45.75" customHeight="1">
      <c r="A91" s="58" t="s">
        <v>70</v>
      </c>
      <c r="B91" s="59"/>
      <c r="C91" s="59"/>
      <c r="D91" s="59"/>
      <c r="E91" s="59"/>
    </row>
    <row r="92" ht="15" customHeight="1">
      <c r="A92" s="32"/>
    </row>
    <row r="93" ht="15.75">
      <c r="A93" s="33" t="s">
        <v>91</v>
      </c>
    </row>
  </sheetData>
  <sheetProtection/>
  <mergeCells count="6">
    <mergeCell ref="A91:E91"/>
    <mergeCell ref="A1:E1"/>
    <mergeCell ref="A89:E89"/>
    <mergeCell ref="C6:E6"/>
    <mergeCell ref="A87:E87"/>
    <mergeCell ref="A86:B86"/>
  </mergeCells>
  <printOptions/>
  <pageMargins left="0.25" right="0.25" top="0.8" bottom="0.33" header="0.48" footer="0.21"/>
  <pageSetup fitToHeight="1" fitToWidth="1" horizontalDpi="600" verticalDpi="600" orientation="portrait" paperSize="5" scale="82"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1">
      <selection activeCell="E83" sqref="E83"/>
    </sheetView>
  </sheetViews>
  <sheetFormatPr defaultColWidth="8.8515625" defaultRowHeight="12.75"/>
  <cols>
    <col min="1" max="1" width="2.8515625" style="0" customWidth="1"/>
    <col min="2" max="2" width="69.8515625" style="0" customWidth="1"/>
  </cols>
  <sheetData>
    <row r="1" spans="1:5" ht="18">
      <c r="A1" s="60" t="s">
        <v>71</v>
      </c>
      <c r="B1" s="61"/>
      <c r="C1" s="61"/>
      <c r="D1" s="61"/>
      <c r="E1" s="61"/>
    </row>
    <row r="2" ht="15.75">
      <c r="A2" s="2" t="s">
        <v>0</v>
      </c>
    </row>
    <row r="3" ht="15.75">
      <c r="A3" s="2" t="s">
        <v>1</v>
      </c>
    </row>
    <row r="4" ht="15.75">
      <c r="A4" s="44" t="str">
        <f>+'Jan '!A4</f>
        <v>YEAR: 1/1/2010 - 12/31/2010</v>
      </c>
    </row>
    <row r="5" ht="13.5" thickBot="1">
      <c r="A5" s="3"/>
    </row>
    <row r="6" spans="1:5" ht="13.5" thickBot="1">
      <c r="A6" s="4"/>
      <c r="B6" s="5" t="str">
        <f>+'Jan '!B6</f>
        <v>NAME OF ORGANIZATION:  Miami Dade Coalition</v>
      </c>
      <c r="C6" s="74" t="s">
        <v>84</v>
      </c>
      <c r="D6" s="72"/>
      <c r="E6" s="73"/>
    </row>
    <row r="7" spans="1:5" ht="12.75">
      <c r="A7" s="4"/>
      <c r="B7" s="6"/>
      <c r="C7" s="38" t="s">
        <v>2</v>
      </c>
      <c r="D7" s="7" t="s">
        <v>3</v>
      </c>
      <c r="E7" s="8" t="s">
        <v>4</v>
      </c>
    </row>
    <row r="8" spans="1:5" ht="12.75">
      <c r="A8" s="9" t="s">
        <v>5</v>
      </c>
      <c r="B8" s="10" t="s">
        <v>6</v>
      </c>
      <c r="C8" s="39">
        <f>+'Oct '!C85</f>
        <v>568</v>
      </c>
      <c r="D8" s="11">
        <f>+'Oct '!D85</f>
        <v>715</v>
      </c>
      <c r="E8" s="12">
        <f>SUM(C8:D8)</f>
        <v>1283</v>
      </c>
    </row>
    <row r="9" spans="1:5" ht="12.75">
      <c r="A9" s="9"/>
      <c r="B9" s="10"/>
      <c r="C9" s="40"/>
      <c r="D9" s="14"/>
      <c r="E9" s="12"/>
    </row>
    <row r="10" spans="1:5" ht="12.75">
      <c r="A10" s="9"/>
      <c r="B10" s="10" t="s">
        <v>7</v>
      </c>
      <c r="C10" s="40"/>
      <c r="D10" s="14"/>
      <c r="E10" s="15"/>
    </row>
    <row r="11" spans="1:5" ht="12.75">
      <c r="A11" s="9"/>
      <c r="B11" s="16" t="s">
        <v>8</v>
      </c>
      <c r="C11" s="40"/>
      <c r="D11" s="14"/>
      <c r="E11" s="15"/>
    </row>
    <row r="12" spans="1:5" ht="12.75">
      <c r="A12" s="9"/>
      <c r="B12" s="17" t="s">
        <v>9</v>
      </c>
      <c r="C12" s="40">
        <f>713+69+23</f>
        <v>805</v>
      </c>
      <c r="D12" s="14">
        <f>352+53+24</f>
        <v>429</v>
      </c>
      <c r="E12" s="15">
        <f>SUM(C12:D12)</f>
        <v>1234</v>
      </c>
    </row>
    <row r="13" spans="1:5" ht="12.75">
      <c r="A13" s="9"/>
      <c r="B13" s="17" t="s">
        <v>10</v>
      </c>
      <c r="C13" s="40">
        <f>106+9</f>
        <v>115</v>
      </c>
      <c r="D13" s="14">
        <v>177</v>
      </c>
      <c r="E13" s="15">
        <f>SUM(C13:D13)</f>
        <v>292</v>
      </c>
    </row>
    <row r="14" spans="1:5" ht="12.75">
      <c r="A14" s="9"/>
      <c r="B14" s="17" t="s">
        <v>11</v>
      </c>
      <c r="C14" s="40">
        <f>197+2</f>
        <v>199</v>
      </c>
      <c r="D14" s="14">
        <v>175</v>
      </c>
      <c r="E14" s="15">
        <f>SUM(C14:D14)</f>
        <v>374</v>
      </c>
    </row>
    <row r="15" spans="1:5" ht="12.75">
      <c r="A15" s="9"/>
      <c r="B15" s="17" t="s">
        <v>12</v>
      </c>
      <c r="C15" s="40">
        <v>501</v>
      </c>
      <c r="D15" s="14">
        <v>175</v>
      </c>
      <c r="E15" s="15">
        <f>SUM(C15:D15)</f>
        <v>676</v>
      </c>
    </row>
    <row r="16" spans="1:5" ht="12.75">
      <c r="A16" s="9" t="s">
        <v>13</v>
      </c>
      <c r="B16" s="18" t="s">
        <v>14</v>
      </c>
      <c r="C16" s="50">
        <f>SUM(C12:C15)</f>
        <v>1620</v>
      </c>
      <c r="D16" s="11">
        <f>SUM(D12:D15)</f>
        <v>956</v>
      </c>
      <c r="E16" s="19">
        <f>SUM(C16:D16)</f>
        <v>2576</v>
      </c>
    </row>
    <row r="17" spans="1:5" ht="12.75">
      <c r="A17" s="9"/>
      <c r="B17" s="16" t="s">
        <v>15</v>
      </c>
      <c r="C17" s="40"/>
      <c r="D17" s="14"/>
      <c r="E17" s="15"/>
    </row>
    <row r="18" spans="1:5" ht="12.75">
      <c r="A18" s="9"/>
      <c r="B18" s="17" t="s">
        <v>9</v>
      </c>
      <c r="C18" s="40">
        <v>40</v>
      </c>
      <c r="D18" s="14">
        <v>15</v>
      </c>
      <c r="E18" s="15">
        <f>SUM(C18:D18)</f>
        <v>55</v>
      </c>
    </row>
    <row r="19" spans="1:5" ht="12.75">
      <c r="A19" s="9"/>
      <c r="B19" s="17" t="s">
        <v>10</v>
      </c>
      <c r="C19" s="40"/>
      <c r="D19" s="14"/>
      <c r="E19" s="15">
        <f>SUM(C19:D19)</f>
        <v>0</v>
      </c>
    </row>
    <row r="20" spans="1:5" ht="12.75">
      <c r="A20" s="9"/>
      <c r="B20" s="17" t="s">
        <v>11</v>
      </c>
      <c r="C20" s="40"/>
      <c r="D20" s="14"/>
      <c r="E20" s="15">
        <f>SUM(C20:D20)</f>
        <v>0</v>
      </c>
    </row>
    <row r="21" spans="1:5" ht="12.75">
      <c r="A21" s="9"/>
      <c r="B21" s="17" t="s">
        <v>12</v>
      </c>
      <c r="C21" s="40"/>
      <c r="D21" s="14"/>
      <c r="E21" s="15">
        <f>SUM(C21:D21)</f>
        <v>0</v>
      </c>
    </row>
    <row r="22" spans="1:5" ht="12.75">
      <c r="A22" s="9" t="s">
        <v>16</v>
      </c>
      <c r="B22" s="18" t="s">
        <v>95</v>
      </c>
      <c r="C22" s="50">
        <f>SUM(C17:C21)</f>
        <v>40</v>
      </c>
      <c r="D22" s="11">
        <f>SUM(D17:D21)</f>
        <v>15</v>
      </c>
      <c r="E22" s="19">
        <f>SUM(C22:D22)</f>
        <v>55</v>
      </c>
    </row>
    <row r="23" spans="1:5" ht="12.75">
      <c r="A23" s="9"/>
      <c r="B23" s="16" t="s">
        <v>18</v>
      </c>
      <c r="C23" s="40"/>
      <c r="D23" s="14"/>
      <c r="E23" s="15"/>
    </row>
    <row r="24" spans="1:5" ht="12.75">
      <c r="A24" s="9"/>
      <c r="B24" s="17" t="s">
        <v>9</v>
      </c>
      <c r="C24" s="40"/>
      <c r="D24" s="14">
        <v>55</v>
      </c>
      <c r="E24" s="15">
        <f>SUM(C24:D24)</f>
        <v>55</v>
      </c>
    </row>
    <row r="25" spans="1:5" ht="12.75">
      <c r="A25" s="9"/>
      <c r="B25" s="17" t="s">
        <v>10</v>
      </c>
      <c r="C25" s="40"/>
      <c r="D25" s="14"/>
      <c r="E25" s="15">
        <f>SUM(C25:D25)</f>
        <v>0</v>
      </c>
    </row>
    <row r="26" spans="1:5" ht="12.75">
      <c r="A26" s="9"/>
      <c r="B26" s="17" t="s">
        <v>11</v>
      </c>
      <c r="C26" s="40"/>
      <c r="D26" s="14"/>
      <c r="E26" s="15">
        <f>SUM(C26:D26)</f>
        <v>0</v>
      </c>
    </row>
    <row r="27" spans="1:5" ht="12.75">
      <c r="A27" s="9"/>
      <c r="B27" s="17" t="s">
        <v>12</v>
      </c>
      <c r="C27" s="40"/>
      <c r="D27" s="14"/>
      <c r="E27" s="15">
        <f>SUM(C27:D27)</f>
        <v>0</v>
      </c>
    </row>
    <row r="28" spans="1:5" ht="12.75">
      <c r="A28" s="9" t="s">
        <v>19</v>
      </c>
      <c r="B28" s="18" t="s">
        <v>96</v>
      </c>
      <c r="C28" s="39">
        <f>SUM(C24:C27)</f>
        <v>0</v>
      </c>
      <c r="D28" s="11">
        <f>SUM(D24:D27)</f>
        <v>55</v>
      </c>
      <c r="E28" s="19">
        <f>SUM(C28:D28)</f>
        <v>55</v>
      </c>
    </row>
    <row r="29" spans="1:5" ht="12.75">
      <c r="A29" s="9"/>
      <c r="B29" s="16" t="s">
        <v>21</v>
      </c>
      <c r="C29" s="40"/>
      <c r="D29" s="14"/>
      <c r="E29" s="15"/>
    </row>
    <row r="30" spans="1:5" ht="12.75">
      <c r="A30" s="9"/>
      <c r="B30" s="17" t="s">
        <v>9</v>
      </c>
      <c r="C30" s="40"/>
      <c r="D30" s="14"/>
      <c r="E30" s="15">
        <f aca="true" t="shared" si="0" ref="E30:E37">SUM(C30:D30)</f>
        <v>0</v>
      </c>
    </row>
    <row r="31" spans="1:5" ht="12.75">
      <c r="A31" s="9"/>
      <c r="B31" s="17" t="s">
        <v>10</v>
      </c>
      <c r="C31" s="40"/>
      <c r="D31" s="14"/>
      <c r="E31" s="15">
        <f t="shared" si="0"/>
        <v>0</v>
      </c>
    </row>
    <row r="32" spans="1:5" ht="12.75">
      <c r="A32" s="9"/>
      <c r="B32" s="17" t="s">
        <v>11</v>
      </c>
      <c r="C32" s="40"/>
      <c r="D32" s="14"/>
      <c r="E32" s="15">
        <f t="shared" si="0"/>
        <v>0</v>
      </c>
    </row>
    <row r="33" spans="1:5" ht="12.75">
      <c r="A33" s="9"/>
      <c r="B33" s="17" t="s">
        <v>12</v>
      </c>
      <c r="C33" s="40">
        <v>84</v>
      </c>
      <c r="D33" s="14">
        <v>17</v>
      </c>
      <c r="E33" s="15">
        <f t="shared" si="0"/>
        <v>101</v>
      </c>
    </row>
    <row r="34" spans="1:5" ht="12.75">
      <c r="A34" s="9" t="s">
        <v>22</v>
      </c>
      <c r="B34" s="18" t="s">
        <v>23</v>
      </c>
      <c r="C34" s="39">
        <f>SUM(C30:C33)</f>
        <v>84</v>
      </c>
      <c r="D34" s="11">
        <f>SUM(D30:D33)</f>
        <v>17</v>
      </c>
      <c r="E34" s="19">
        <f t="shared" si="0"/>
        <v>101</v>
      </c>
    </row>
    <row r="35" spans="1:5" ht="15">
      <c r="A35" s="9" t="s">
        <v>24</v>
      </c>
      <c r="B35" s="46" t="s">
        <v>97</v>
      </c>
      <c r="C35" s="47">
        <f>C16+C22+C28+C34</f>
        <v>1744</v>
      </c>
      <c r="D35" s="48">
        <f>D16+D22+D28+D34</f>
        <v>1043</v>
      </c>
      <c r="E35" s="49">
        <f t="shared" si="0"/>
        <v>2787</v>
      </c>
    </row>
    <row r="36" spans="1:5" ht="12.75">
      <c r="A36" s="21" t="s">
        <v>26</v>
      </c>
      <c r="B36" s="22" t="s">
        <v>27</v>
      </c>
      <c r="C36" s="42">
        <f>+C33</f>
        <v>84</v>
      </c>
      <c r="D36" s="24">
        <f>+D33</f>
        <v>17</v>
      </c>
      <c r="E36" s="34">
        <f t="shared" si="0"/>
        <v>101</v>
      </c>
    </row>
    <row r="37" spans="1:5" ht="15">
      <c r="A37" s="9" t="s">
        <v>28</v>
      </c>
      <c r="B37" s="46" t="s">
        <v>98</v>
      </c>
      <c r="C37" s="47">
        <f>C35-C36</f>
        <v>1660</v>
      </c>
      <c r="D37" s="48">
        <f>D35-D36</f>
        <v>1026</v>
      </c>
      <c r="E37" s="49">
        <f t="shared" si="0"/>
        <v>2686</v>
      </c>
    </row>
    <row r="38" spans="1:5" ht="12.75">
      <c r="A38" s="9"/>
      <c r="B38" s="25"/>
      <c r="C38" s="40"/>
      <c r="D38" s="14"/>
      <c r="E38" s="15"/>
    </row>
    <row r="39" spans="1:5" ht="12.75">
      <c r="A39" s="9"/>
      <c r="B39" s="10" t="s">
        <v>30</v>
      </c>
      <c r="C39" s="40"/>
      <c r="D39" s="14"/>
      <c r="E39" s="15"/>
    </row>
    <row r="40" spans="1:5" ht="12.75">
      <c r="A40" s="9"/>
      <c r="B40" s="26" t="s">
        <v>31</v>
      </c>
      <c r="C40" s="40"/>
      <c r="D40" s="14"/>
      <c r="E40" s="15"/>
    </row>
    <row r="41" spans="1:5" ht="12.75">
      <c r="A41" s="9"/>
      <c r="B41" s="17" t="s">
        <v>9</v>
      </c>
      <c r="C41" s="40">
        <f>358+89</f>
        <v>447</v>
      </c>
      <c r="D41" s="14">
        <f>168+56</f>
        <v>224</v>
      </c>
      <c r="E41" s="15">
        <f>SUM(C41:D41)</f>
        <v>671</v>
      </c>
    </row>
    <row r="42" spans="1:5" ht="12.75">
      <c r="A42" s="9"/>
      <c r="B42" s="17" t="s">
        <v>10</v>
      </c>
      <c r="C42" s="40">
        <v>163</v>
      </c>
      <c r="D42" s="14">
        <v>15</v>
      </c>
      <c r="E42" s="15">
        <f>SUM(C42:D42)</f>
        <v>178</v>
      </c>
    </row>
    <row r="43" spans="1:5" ht="12.75">
      <c r="A43" s="9"/>
      <c r="B43" s="17" t="s">
        <v>11</v>
      </c>
      <c r="C43" s="40">
        <v>17</v>
      </c>
      <c r="D43" s="14">
        <v>4</v>
      </c>
      <c r="E43" s="15">
        <f>SUM(C43:D43)</f>
        <v>21</v>
      </c>
    </row>
    <row r="44" spans="1:5" ht="12.75">
      <c r="A44" s="9"/>
      <c r="B44" s="17" t="s">
        <v>12</v>
      </c>
      <c r="C44" s="40">
        <v>5</v>
      </c>
      <c r="D44" s="14">
        <v>0</v>
      </c>
      <c r="E44" s="15">
        <f>SUM(C44:D44)</f>
        <v>5</v>
      </c>
    </row>
    <row r="45" spans="1:5" ht="12.75">
      <c r="A45" s="9"/>
      <c r="B45" s="18" t="s">
        <v>99</v>
      </c>
      <c r="C45" s="50">
        <f>SUM(C41:C44)</f>
        <v>632</v>
      </c>
      <c r="D45" s="11">
        <f>SUM(D41:D44)</f>
        <v>243</v>
      </c>
      <c r="E45" s="19">
        <f>SUM(C45:D45)</f>
        <v>875</v>
      </c>
    </row>
    <row r="46" spans="1:5" ht="12.75">
      <c r="A46" s="9"/>
      <c r="B46" s="26" t="s">
        <v>33</v>
      </c>
      <c r="C46" s="40"/>
      <c r="D46" s="14"/>
      <c r="E46" s="15"/>
    </row>
    <row r="47" spans="1:5" ht="12.75">
      <c r="A47" s="9"/>
      <c r="B47" s="17" t="s">
        <v>9</v>
      </c>
      <c r="C47" s="40">
        <v>24</v>
      </c>
      <c r="D47" s="14">
        <v>30</v>
      </c>
      <c r="E47" s="15">
        <f aca="true" t="shared" si="1" ref="E47:E52">SUM(C47:D47)</f>
        <v>54</v>
      </c>
    </row>
    <row r="48" spans="1:5" ht="12.75">
      <c r="A48" s="9"/>
      <c r="B48" s="17" t="s">
        <v>10</v>
      </c>
      <c r="C48" s="40">
        <v>18</v>
      </c>
      <c r="D48" s="14"/>
      <c r="E48" s="15">
        <f t="shared" si="1"/>
        <v>18</v>
      </c>
    </row>
    <row r="49" spans="1:5" ht="12.75">
      <c r="A49" s="9"/>
      <c r="B49" s="17" t="s">
        <v>11</v>
      </c>
      <c r="C49" s="40">
        <v>2</v>
      </c>
      <c r="D49" s="14"/>
      <c r="E49" s="15">
        <f t="shared" si="1"/>
        <v>2</v>
      </c>
    </row>
    <row r="50" spans="1:5" ht="12.75">
      <c r="A50" s="9"/>
      <c r="B50" s="17" t="s">
        <v>12</v>
      </c>
      <c r="C50" s="40"/>
      <c r="D50" s="14"/>
      <c r="E50" s="15">
        <f t="shared" si="1"/>
        <v>0</v>
      </c>
    </row>
    <row r="51" spans="1:5" ht="24">
      <c r="A51" s="9"/>
      <c r="B51" s="18" t="s">
        <v>100</v>
      </c>
      <c r="C51" s="50">
        <f>SUM(C47:C50)</f>
        <v>44</v>
      </c>
      <c r="D51" s="11">
        <f>SUM(D47:D50)</f>
        <v>30</v>
      </c>
      <c r="E51" s="19">
        <f t="shared" si="1"/>
        <v>74</v>
      </c>
    </row>
    <row r="52" spans="1:5" ht="12.75">
      <c r="A52" s="54" t="s">
        <v>35</v>
      </c>
      <c r="B52" s="55" t="s">
        <v>36</v>
      </c>
      <c r="C52" s="51">
        <f>+C51+C45</f>
        <v>676</v>
      </c>
      <c r="D52" s="20">
        <f>+D51+D45</f>
        <v>273</v>
      </c>
      <c r="E52" s="12">
        <f t="shared" si="1"/>
        <v>949</v>
      </c>
    </row>
    <row r="53" spans="1:5" ht="12.75">
      <c r="A53" s="9"/>
      <c r="B53" s="10"/>
      <c r="C53" s="40"/>
      <c r="D53" s="14"/>
      <c r="E53" s="15"/>
    </row>
    <row r="54" spans="1:5" ht="12.75">
      <c r="A54" s="9"/>
      <c r="B54" s="10" t="s">
        <v>37</v>
      </c>
      <c r="C54" s="40"/>
      <c r="D54" s="14"/>
      <c r="E54" s="15"/>
    </row>
    <row r="55" spans="1:5" ht="12.75">
      <c r="A55" s="9"/>
      <c r="B55" s="17" t="s">
        <v>9</v>
      </c>
      <c r="C55" s="40">
        <v>38</v>
      </c>
      <c r="D55" s="14">
        <v>15</v>
      </c>
      <c r="E55" s="15">
        <f>SUM(C55:D55)</f>
        <v>53</v>
      </c>
    </row>
    <row r="56" spans="1:5" ht="12.75">
      <c r="A56" s="9"/>
      <c r="B56" s="17" t="s">
        <v>10</v>
      </c>
      <c r="C56" s="40"/>
      <c r="D56" s="14"/>
      <c r="E56" s="15">
        <f>SUM(C56:D56)</f>
        <v>0</v>
      </c>
    </row>
    <row r="57" spans="1:5" ht="12.75">
      <c r="A57" s="9"/>
      <c r="B57" s="17" t="s">
        <v>11</v>
      </c>
      <c r="C57" s="40"/>
      <c r="D57" s="14"/>
      <c r="E57" s="15">
        <f>SUM(C57:D57)</f>
        <v>0</v>
      </c>
    </row>
    <row r="58" spans="1:5" ht="12.75">
      <c r="A58" s="9"/>
      <c r="B58" s="17" t="s">
        <v>12</v>
      </c>
      <c r="C58" s="40"/>
      <c r="D58" s="14"/>
      <c r="E58" s="15">
        <f>SUM(C58:D58)</f>
        <v>0</v>
      </c>
    </row>
    <row r="59" spans="1:5" ht="12.75">
      <c r="A59" s="54" t="s">
        <v>38</v>
      </c>
      <c r="B59" s="57" t="s">
        <v>101</v>
      </c>
      <c r="C59" s="41">
        <f>SUM(C55:C58)</f>
        <v>38</v>
      </c>
      <c r="D59" s="20">
        <f>SUM(D55:D58)</f>
        <v>15</v>
      </c>
      <c r="E59" s="12">
        <f>SUM(C59:D59)</f>
        <v>53</v>
      </c>
    </row>
    <row r="60" spans="1:5" ht="12.75">
      <c r="A60" s="9"/>
      <c r="B60" s="10"/>
      <c r="C60" s="40"/>
      <c r="D60" s="14"/>
      <c r="E60" s="15"/>
    </row>
    <row r="61" spans="1:5" ht="12.75">
      <c r="A61" s="9"/>
      <c r="B61" s="10" t="s">
        <v>40</v>
      </c>
      <c r="C61" s="40"/>
      <c r="D61" s="14"/>
      <c r="E61" s="15"/>
    </row>
    <row r="62" spans="1:5" ht="12.75">
      <c r="A62" s="9"/>
      <c r="B62" s="17" t="s">
        <v>9</v>
      </c>
      <c r="C62" s="40">
        <v>247</v>
      </c>
      <c r="D62" s="14">
        <f>74+55</f>
        <v>129</v>
      </c>
      <c r="E62" s="15">
        <f>SUM(C62:D62)</f>
        <v>376</v>
      </c>
    </row>
    <row r="63" spans="1:5" ht="12.75">
      <c r="A63" s="9"/>
      <c r="B63" s="17" t="s">
        <v>10</v>
      </c>
      <c r="C63" s="40">
        <v>13</v>
      </c>
      <c r="D63" s="14">
        <v>2</v>
      </c>
      <c r="E63" s="15">
        <f>SUM(C63:D63)</f>
        <v>15</v>
      </c>
    </row>
    <row r="64" spans="1:5" ht="12.75">
      <c r="A64" s="9"/>
      <c r="B64" s="17" t="s">
        <v>11</v>
      </c>
      <c r="C64" s="40">
        <v>3</v>
      </c>
      <c r="D64" s="14"/>
      <c r="E64" s="15">
        <f>SUM(C64:D64)</f>
        <v>3</v>
      </c>
    </row>
    <row r="65" spans="1:5" ht="12.75">
      <c r="A65" s="9"/>
      <c r="B65" s="17" t="s">
        <v>12</v>
      </c>
      <c r="C65" s="40">
        <v>5</v>
      </c>
      <c r="D65" s="14"/>
      <c r="E65" s="15">
        <f>SUM(C65:D65)</f>
        <v>5</v>
      </c>
    </row>
    <row r="66" spans="1:5" ht="12.75">
      <c r="A66" s="54" t="s">
        <v>41</v>
      </c>
      <c r="B66" s="57" t="s">
        <v>102</v>
      </c>
      <c r="C66" s="41">
        <f>SUM(C62:C65)</f>
        <v>268</v>
      </c>
      <c r="D66" s="20">
        <f>SUM(D62:D65)</f>
        <v>131</v>
      </c>
      <c r="E66" s="12">
        <f>SUM(C66:D66)</f>
        <v>399</v>
      </c>
    </row>
    <row r="67" spans="1:5" ht="12.75">
      <c r="A67" s="9"/>
      <c r="B67" s="10"/>
      <c r="C67" s="40"/>
      <c r="D67" s="14"/>
      <c r="E67" s="15"/>
    </row>
    <row r="68" spans="1:5" ht="12.75">
      <c r="A68" s="9" t="s">
        <v>43</v>
      </c>
      <c r="B68" s="10" t="s">
        <v>44</v>
      </c>
      <c r="C68" s="41">
        <f>116+3</f>
        <v>119</v>
      </c>
      <c r="D68" s="20">
        <v>9</v>
      </c>
      <c r="E68" s="12">
        <f>SUM(C68:D68)</f>
        <v>128</v>
      </c>
    </row>
    <row r="69" spans="1:5" ht="12.75">
      <c r="A69" s="9"/>
      <c r="B69" s="10"/>
      <c r="C69" s="40"/>
      <c r="D69" s="14"/>
      <c r="E69" s="15"/>
    </row>
    <row r="70" spans="1:5" ht="12.75">
      <c r="A70" s="9"/>
      <c r="B70" s="10" t="s">
        <v>45</v>
      </c>
      <c r="C70" s="40"/>
      <c r="D70" s="14"/>
      <c r="E70" s="15"/>
    </row>
    <row r="71" spans="1:5" ht="12.75">
      <c r="A71" s="9" t="s">
        <v>46</v>
      </c>
      <c r="B71" s="25" t="s">
        <v>47</v>
      </c>
      <c r="C71" s="40">
        <v>14</v>
      </c>
      <c r="D71" s="14">
        <v>16</v>
      </c>
      <c r="E71" s="15">
        <f aca="true" t="shared" si="2" ref="E71:E77">SUM(C71:D71)</f>
        <v>30</v>
      </c>
    </row>
    <row r="72" spans="1:5" ht="12.75">
      <c r="A72" s="9" t="s">
        <v>48</v>
      </c>
      <c r="B72" s="25" t="s">
        <v>49</v>
      </c>
      <c r="C72" s="40">
        <v>92</v>
      </c>
      <c r="D72" s="14">
        <v>86</v>
      </c>
      <c r="E72" s="15">
        <f t="shared" si="2"/>
        <v>178</v>
      </c>
    </row>
    <row r="73" spans="1:5" ht="12.75">
      <c r="A73" s="9" t="s">
        <v>50</v>
      </c>
      <c r="B73" s="25" t="s">
        <v>51</v>
      </c>
      <c r="C73" s="40">
        <v>70</v>
      </c>
      <c r="D73" s="14">
        <v>107</v>
      </c>
      <c r="E73" s="15">
        <f t="shared" si="2"/>
        <v>177</v>
      </c>
    </row>
    <row r="74" spans="1:5" ht="12.75">
      <c r="A74" s="9" t="s">
        <v>52</v>
      </c>
      <c r="B74" s="25" t="s">
        <v>53</v>
      </c>
      <c r="C74" s="40">
        <f>285+4</f>
        <v>289</v>
      </c>
      <c r="D74" s="14">
        <f>327+6</f>
        <v>333</v>
      </c>
      <c r="E74" s="15">
        <f t="shared" si="2"/>
        <v>622</v>
      </c>
    </row>
    <row r="75" spans="1:5" ht="12.75">
      <c r="A75" s="9" t="s">
        <v>54</v>
      </c>
      <c r="B75" s="25" t="s">
        <v>55</v>
      </c>
      <c r="C75" s="41">
        <f>SUM(C71:C74)</f>
        <v>465</v>
      </c>
      <c r="D75" s="20">
        <f>SUM(D71:D74)</f>
        <v>542</v>
      </c>
      <c r="E75" s="12">
        <f t="shared" si="2"/>
        <v>1007</v>
      </c>
    </row>
    <row r="76" spans="1:5" ht="12.75">
      <c r="A76" s="21" t="s">
        <v>56</v>
      </c>
      <c r="B76" s="22" t="s">
        <v>27</v>
      </c>
      <c r="C76" s="42">
        <f>+C36</f>
        <v>84</v>
      </c>
      <c r="D76" s="24">
        <f>+D36</f>
        <v>17</v>
      </c>
      <c r="E76" s="34">
        <f t="shared" si="2"/>
        <v>101</v>
      </c>
    </row>
    <row r="77" spans="1:5" ht="12.75">
      <c r="A77" s="9" t="s">
        <v>57</v>
      </c>
      <c r="B77" s="10" t="s">
        <v>58</v>
      </c>
      <c r="C77" s="41">
        <f>C75-C76</f>
        <v>381</v>
      </c>
      <c r="D77" s="20">
        <f>D75-D76</f>
        <v>525</v>
      </c>
      <c r="E77" s="12">
        <f t="shared" si="2"/>
        <v>906</v>
      </c>
    </row>
    <row r="78" spans="1:5" ht="12.75">
      <c r="A78" s="9"/>
      <c r="B78" s="10"/>
      <c r="C78" s="40"/>
      <c r="D78" s="14"/>
      <c r="E78" s="15"/>
    </row>
    <row r="79" spans="1:5" ht="24">
      <c r="A79" s="9" t="s">
        <v>59</v>
      </c>
      <c r="B79" s="10" t="s">
        <v>60</v>
      </c>
      <c r="C79" s="41">
        <f>C52+C59+C66+C68+C77</f>
        <v>1482</v>
      </c>
      <c r="D79" s="20">
        <f>D52+D59+D66+D68+D77</f>
        <v>953</v>
      </c>
      <c r="E79" s="12">
        <f>SUM(C79:D79)</f>
        <v>2435</v>
      </c>
    </row>
    <row r="80" spans="1:5" ht="12.75">
      <c r="A80" s="9"/>
      <c r="B80" s="27"/>
      <c r="C80" s="40"/>
      <c r="D80" s="14"/>
      <c r="E80" s="15"/>
    </row>
    <row r="81" spans="1:5" ht="12.75">
      <c r="A81" s="9" t="s">
        <v>61</v>
      </c>
      <c r="B81" s="10" t="s">
        <v>62</v>
      </c>
      <c r="C81" s="41">
        <f>11+2</f>
        <v>13</v>
      </c>
      <c r="D81" s="20">
        <v>3</v>
      </c>
      <c r="E81" s="12">
        <f>SUM(C81:D81)</f>
        <v>16</v>
      </c>
    </row>
    <row r="82" spans="1:5" ht="12.75">
      <c r="A82" s="9"/>
      <c r="B82" s="27"/>
      <c r="C82" s="40"/>
      <c r="D82" s="14"/>
      <c r="E82" s="15"/>
    </row>
    <row r="83" spans="1:5" ht="24">
      <c r="A83" s="9" t="s">
        <v>63</v>
      </c>
      <c r="B83" s="10" t="s">
        <v>64</v>
      </c>
      <c r="C83" s="41">
        <f>C79+C81</f>
        <v>1495</v>
      </c>
      <c r="D83" s="20">
        <f>D79+D81</f>
        <v>956</v>
      </c>
      <c r="E83" s="12">
        <f>SUM(C83:D83)</f>
        <v>2451</v>
      </c>
    </row>
    <row r="84" spans="1:5" ht="12.75">
      <c r="A84" s="9"/>
      <c r="B84" s="27"/>
      <c r="C84" s="40"/>
      <c r="D84" s="14"/>
      <c r="E84" s="15"/>
    </row>
    <row r="85" spans="1:5" ht="13.5" thickBot="1">
      <c r="A85" s="28" t="s">
        <v>65</v>
      </c>
      <c r="B85" s="29" t="s">
        <v>66</v>
      </c>
      <c r="C85" s="52">
        <f>+C8+C37-C83</f>
        <v>733</v>
      </c>
      <c r="D85" s="53">
        <f>+D8+D37-D83</f>
        <v>785</v>
      </c>
      <c r="E85" s="30">
        <f>SUM(C85:D85)</f>
        <v>1518</v>
      </c>
    </row>
    <row r="86" spans="1:5" ht="30" customHeight="1">
      <c r="A86" s="69" t="s">
        <v>67</v>
      </c>
      <c r="B86" s="70"/>
      <c r="C86" s="35">
        <f>(C8+C35)-(C76+C83)</f>
        <v>733</v>
      </c>
      <c r="D86" s="35">
        <f>(D8+D35)-(D76+D83)</f>
        <v>785</v>
      </c>
      <c r="E86" s="35">
        <f>(E8+E35)-(E76+E83)</f>
        <v>1518</v>
      </c>
    </row>
    <row r="87" spans="1:5" ht="42.75" customHeight="1">
      <c r="A87" s="67" t="s">
        <v>68</v>
      </c>
      <c r="B87" s="68"/>
      <c r="C87" s="68"/>
      <c r="D87" s="68"/>
      <c r="E87" s="68"/>
    </row>
    <row r="88" spans="1:5" ht="12.75">
      <c r="A88" s="36"/>
      <c r="B88" s="37"/>
      <c r="C88" s="37"/>
      <c r="D88" s="37"/>
      <c r="E88" s="37"/>
    </row>
    <row r="89" spans="1:5" ht="15" customHeight="1">
      <c r="A89" s="62" t="s">
        <v>69</v>
      </c>
      <c r="B89" s="63"/>
      <c r="C89" s="63"/>
      <c r="D89" s="63"/>
      <c r="E89" s="63"/>
    </row>
    <row r="90" ht="12.75">
      <c r="A90" s="31"/>
    </row>
    <row r="91" spans="1:5" ht="45.75" customHeight="1">
      <c r="A91" s="58" t="s">
        <v>70</v>
      </c>
      <c r="B91" s="59"/>
      <c r="C91" s="59"/>
      <c r="D91" s="59"/>
      <c r="E91" s="59"/>
    </row>
    <row r="92" ht="15" customHeight="1">
      <c r="A92" s="32"/>
    </row>
    <row r="93" ht="15.75">
      <c r="A93" s="33" t="s">
        <v>91</v>
      </c>
    </row>
  </sheetData>
  <sheetProtection/>
  <mergeCells count="6">
    <mergeCell ref="A91:E91"/>
    <mergeCell ref="A1:E1"/>
    <mergeCell ref="A89:E89"/>
    <mergeCell ref="C6:E6"/>
    <mergeCell ref="A87:E87"/>
    <mergeCell ref="A86:B86"/>
  </mergeCells>
  <printOptions/>
  <pageMargins left="0.25" right="0.25" top="0.8" bottom="0.33" header="0.48" footer="0.21"/>
  <pageSetup fitToHeight="1" fitToWidth="1" horizontalDpi="600" verticalDpi="600" orientation="portrait" paperSize="5" scale="82"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1">
      <selection activeCell="E88" sqref="E88"/>
    </sheetView>
  </sheetViews>
  <sheetFormatPr defaultColWidth="8.8515625" defaultRowHeight="12.75"/>
  <cols>
    <col min="1" max="1" width="2.8515625" style="0" customWidth="1"/>
    <col min="2" max="2" width="69.8515625" style="0" customWidth="1"/>
  </cols>
  <sheetData>
    <row r="1" spans="1:5" ht="18">
      <c r="A1" s="60" t="s">
        <v>71</v>
      </c>
      <c r="B1" s="61"/>
      <c r="C1" s="61"/>
      <c r="D1" s="61"/>
      <c r="E1" s="61"/>
    </row>
    <row r="2" ht="15.75">
      <c r="A2" s="2" t="s">
        <v>0</v>
      </c>
    </row>
    <row r="3" ht="15.75">
      <c r="A3" s="2" t="s">
        <v>1</v>
      </c>
    </row>
    <row r="4" ht="15.75">
      <c r="A4" s="44" t="str">
        <f>+'Jan '!A4</f>
        <v>YEAR: 1/1/2010 - 12/31/2010</v>
      </c>
    </row>
    <row r="5" ht="13.5" thickBot="1">
      <c r="A5" s="3"/>
    </row>
    <row r="6" spans="1:5" ht="13.5" thickBot="1">
      <c r="A6" s="4"/>
      <c r="B6" s="5" t="str">
        <f>+'Jan '!B6</f>
        <v>NAME OF ORGANIZATION:  Miami Dade Coalition</v>
      </c>
      <c r="C6" s="64" t="s">
        <v>85</v>
      </c>
      <c r="D6" s="65"/>
      <c r="E6" s="66"/>
    </row>
    <row r="7" spans="1:5" ht="12.75">
      <c r="A7" s="4"/>
      <c r="B7" s="6"/>
      <c r="C7" s="38" t="s">
        <v>2</v>
      </c>
      <c r="D7" s="7" t="s">
        <v>3</v>
      </c>
      <c r="E7" s="8" t="s">
        <v>4</v>
      </c>
    </row>
    <row r="8" spans="1:5" ht="12.75">
      <c r="A8" s="9" t="s">
        <v>5</v>
      </c>
      <c r="B8" s="10" t="s">
        <v>6</v>
      </c>
      <c r="C8" s="39">
        <f>+Nov!C85</f>
        <v>733</v>
      </c>
      <c r="D8" s="11">
        <f>+Nov!D85</f>
        <v>785</v>
      </c>
      <c r="E8" s="12">
        <f>SUM(C8:D8)</f>
        <v>1518</v>
      </c>
    </row>
    <row r="9" spans="1:5" ht="12.75">
      <c r="A9" s="9"/>
      <c r="B9" s="10"/>
      <c r="C9" s="40"/>
      <c r="D9" s="14"/>
      <c r="E9" s="12"/>
    </row>
    <row r="10" spans="1:5" ht="12.75">
      <c r="A10" s="9"/>
      <c r="B10" s="10" t="s">
        <v>7</v>
      </c>
      <c r="C10" s="40"/>
      <c r="D10" s="14"/>
      <c r="E10" s="15"/>
    </row>
    <row r="11" spans="1:5" ht="12.75">
      <c r="A11" s="9"/>
      <c r="B11" s="16" t="s">
        <v>8</v>
      </c>
      <c r="C11" s="40"/>
      <c r="D11" s="14"/>
      <c r="E11" s="15"/>
    </row>
    <row r="12" spans="1:5" ht="12.75">
      <c r="A12" s="9"/>
      <c r="B12" s="17" t="s">
        <v>9</v>
      </c>
      <c r="C12" s="40">
        <f>716+61+34</f>
        <v>811</v>
      </c>
      <c r="D12" s="14">
        <f>316+55+73</f>
        <v>444</v>
      </c>
      <c r="E12" s="15">
        <f>SUM(C12:D12)</f>
        <v>1255</v>
      </c>
    </row>
    <row r="13" spans="1:5" ht="12.75">
      <c r="A13" s="9"/>
      <c r="B13" s="17" t="s">
        <v>10</v>
      </c>
      <c r="C13" s="40">
        <f>107+12</f>
        <v>119</v>
      </c>
      <c r="D13" s="14">
        <v>158</v>
      </c>
      <c r="E13" s="15">
        <f>SUM(C13:D13)</f>
        <v>277</v>
      </c>
    </row>
    <row r="14" spans="1:5" ht="12.75">
      <c r="A14" s="9"/>
      <c r="B14" s="17" t="s">
        <v>11</v>
      </c>
      <c r="C14" s="40">
        <f>198+1</f>
        <v>199</v>
      </c>
      <c r="D14" s="14">
        <v>159</v>
      </c>
      <c r="E14" s="15">
        <f>SUM(C14:D14)</f>
        <v>358</v>
      </c>
    </row>
    <row r="15" spans="1:5" ht="12.75">
      <c r="A15" s="9"/>
      <c r="B15" s="17" t="s">
        <v>12</v>
      </c>
      <c r="C15" s="40">
        <v>502</v>
      </c>
      <c r="D15" s="14">
        <v>158</v>
      </c>
      <c r="E15" s="15">
        <f>SUM(C15:D15)</f>
        <v>660</v>
      </c>
    </row>
    <row r="16" spans="1:5" ht="12.75">
      <c r="A16" s="9" t="s">
        <v>13</v>
      </c>
      <c r="B16" s="18" t="s">
        <v>14</v>
      </c>
      <c r="C16" s="50">
        <f>SUM(C12:C15)</f>
        <v>1631</v>
      </c>
      <c r="D16" s="11">
        <f>SUM(D12:D15)</f>
        <v>919</v>
      </c>
      <c r="E16" s="19">
        <f>SUM(C16:D16)</f>
        <v>2550</v>
      </c>
    </row>
    <row r="17" spans="1:5" ht="12.75">
      <c r="A17" s="9"/>
      <c r="B17" s="16" t="s">
        <v>15</v>
      </c>
      <c r="C17" s="40"/>
      <c r="D17" s="14"/>
      <c r="E17" s="15"/>
    </row>
    <row r="18" spans="1:5" ht="12.75">
      <c r="A18" s="9"/>
      <c r="B18" s="17" t="s">
        <v>9</v>
      </c>
      <c r="C18" s="40">
        <v>1</v>
      </c>
      <c r="D18" s="14">
        <f>4+135</f>
        <v>139</v>
      </c>
      <c r="E18" s="15">
        <f>SUM(C18:D18)</f>
        <v>140</v>
      </c>
    </row>
    <row r="19" spans="1:5" ht="12.75">
      <c r="A19" s="9"/>
      <c r="B19" s="17" t="s">
        <v>10</v>
      </c>
      <c r="C19" s="40"/>
      <c r="D19" s="14"/>
      <c r="E19" s="15">
        <f>SUM(C19:D19)</f>
        <v>0</v>
      </c>
    </row>
    <row r="20" spans="1:5" ht="12.75">
      <c r="A20" s="9"/>
      <c r="B20" s="17" t="s">
        <v>11</v>
      </c>
      <c r="C20" s="40">
        <v>2</v>
      </c>
      <c r="D20" s="14"/>
      <c r="E20" s="15">
        <f>SUM(C20:D20)</f>
        <v>2</v>
      </c>
    </row>
    <row r="21" spans="1:5" ht="12.75">
      <c r="A21" s="9"/>
      <c r="B21" s="17" t="s">
        <v>12</v>
      </c>
      <c r="C21" s="40">
        <v>4</v>
      </c>
      <c r="D21" s="14"/>
      <c r="E21" s="15">
        <f>SUM(C21:D21)</f>
        <v>4</v>
      </c>
    </row>
    <row r="22" spans="1:5" ht="12.75">
      <c r="A22" s="9" t="s">
        <v>16</v>
      </c>
      <c r="B22" s="18" t="s">
        <v>95</v>
      </c>
      <c r="C22" s="50">
        <f>SUM(C17:C21)</f>
        <v>7</v>
      </c>
      <c r="D22" s="11">
        <f>SUM(D17:D21)</f>
        <v>139</v>
      </c>
      <c r="E22" s="19">
        <f>SUM(C22:D22)</f>
        <v>146</v>
      </c>
    </row>
    <row r="23" spans="1:5" ht="12.75">
      <c r="A23" s="9"/>
      <c r="B23" s="16" t="s">
        <v>18</v>
      </c>
      <c r="C23" s="40"/>
      <c r="D23" s="14"/>
      <c r="E23" s="15"/>
    </row>
    <row r="24" spans="1:5" ht="12.75">
      <c r="A24" s="9"/>
      <c r="B24" s="17" t="s">
        <v>9</v>
      </c>
      <c r="C24" s="40">
        <v>1</v>
      </c>
      <c r="D24" s="14"/>
      <c r="E24" s="15">
        <f>SUM(C24:D24)</f>
        <v>1</v>
      </c>
    </row>
    <row r="25" spans="1:5" ht="12.75">
      <c r="A25" s="9"/>
      <c r="B25" s="17" t="s">
        <v>10</v>
      </c>
      <c r="C25" s="40"/>
      <c r="D25" s="14"/>
      <c r="E25" s="15">
        <f>SUM(C25:D25)</f>
        <v>0</v>
      </c>
    </row>
    <row r="26" spans="1:5" ht="12.75">
      <c r="A26" s="9"/>
      <c r="B26" s="17" t="s">
        <v>11</v>
      </c>
      <c r="C26" s="40"/>
      <c r="D26" s="14"/>
      <c r="E26" s="15">
        <f>SUM(C26:D26)</f>
        <v>0</v>
      </c>
    </row>
    <row r="27" spans="1:5" ht="12.75">
      <c r="A27" s="9"/>
      <c r="B27" s="17" t="s">
        <v>12</v>
      </c>
      <c r="C27" s="40"/>
      <c r="D27" s="14"/>
      <c r="E27" s="15">
        <f>SUM(C27:D27)</f>
        <v>0</v>
      </c>
    </row>
    <row r="28" spans="1:5" ht="12.75">
      <c r="A28" s="9" t="s">
        <v>19</v>
      </c>
      <c r="B28" s="18" t="s">
        <v>96</v>
      </c>
      <c r="C28" s="39">
        <f>SUM(C24:C27)</f>
        <v>1</v>
      </c>
      <c r="D28" s="11">
        <f>SUM(D24:D27)</f>
        <v>0</v>
      </c>
      <c r="E28" s="19">
        <f>SUM(C28:D28)</f>
        <v>1</v>
      </c>
    </row>
    <row r="29" spans="1:5" ht="12.75">
      <c r="A29" s="9"/>
      <c r="B29" s="16" t="s">
        <v>21</v>
      </c>
      <c r="C29" s="40"/>
      <c r="D29" s="14"/>
      <c r="E29" s="15"/>
    </row>
    <row r="30" spans="1:5" ht="12.75">
      <c r="A30" s="9"/>
      <c r="B30" s="17" t="s">
        <v>9</v>
      </c>
      <c r="C30" s="40"/>
      <c r="D30" s="14"/>
      <c r="E30" s="15">
        <f aca="true" t="shared" si="0" ref="E30:E37">SUM(C30:D30)</f>
        <v>0</v>
      </c>
    </row>
    <row r="31" spans="1:5" ht="12.75">
      <c r="A31" s="9"/>
      <c r="B31" s="17" t="s">
        <v>10</v>
      </c>
      <c r="C31" s="40"/>
      <c r="D31" s="14"/>
      <c r="E31" s="15">
        <f t="shared" si="0"/>
        <v>0</v>
      </c>
    </row>
    <row r="32" spans="1:5" ht="12.75">
      <c r="A32" s="9"/>
      <c r="B32" s="17" t="s">
        <v>11</v>
      </c>
      <c r="C32" s="40"/>
      <c r="D32" s="14"/>
      <c r="E32" s="15">
        <f t="shared" si="0"/>
        <v>0</v>
      </c>
    </row>
    <row r="33" spans="1:5" ht="12.75">
      <c r="A33" s="9"/>
      <c r="B33" s="17" t="s">
        <v>12</v>
      </c>
      <c r="C33" s="40">
        <v>77</v>
      </c>
      <c r="D33" s="14">
        <v>19</v>
      </c>
      <c r="E33" s="15">
        <f t="shared" si="0"/>
        <v>96</v>
      </c>
    </row>
    <row r="34" spans="1:5" ht="12.75">
      <c r="A34" s="9" t="s">
        <v>22</v>
      </c>
      <c r="B34" s="18" t="s">
        <v>23</v>
      </c>
      <c r="C34" s="39">
        <f>SUM(C30:C33)</f>
        <v>77</v>
      </c>
      <c r="D34" s="11">
        <f>SUM(D30:D33)</f>
        <v>19</v>
      </c>
      <c r="E34" s="19">
        <f t="shared" si="0"/>
        <v>96</v>
      </c>
    </row>
    <row r="35" spans="1:5" ht="15">
      <c r="A35" s="9" t="s">
        <v>24</v>
      </c>
      <c r="B35" s="46" t="s">
        <v>97</v>
      </c>
      <c r="C35" s="47">
        <f>C16+C22+C28+C34</f>
        <v>1716</v>
      </c>
      <c r="D35" s="48">
        <f>D16+D22+D28+D34</f>
        <v>1077</v>
      </c>
      <c r="E35" s="49">
        <f t="shared" si="0"/>
        <v>2793</v>
      </c>
    </row>
    <row r="36" spans="1:5" ht="12.75">
      <c r="A36" s="21" t="s">
        <v>26</v>
      </c>
      <c r="B36" s="22" t="s">
        <v>27</v>
      </c>
      <c r="C36" s="42">
        <f>+C33</f>
        <v>77</v>
      </c>
      <c r="D36" s="24">
        <f>+D33</f>
        <v>19</v>
      </c>
      <c r="E36" s="34">
        <f t="shared" si="0"/>
        <v>96</v>
      </c>
    </row>
    <row r="37" spans="1:5" ht="15">
      <c r="A37" s="9" t="s">
        <v>28</v>
      </c>
      <c r="B37" s="46" t="s">
        <v>98</v>
      </c>
      <c r="C37" s="47">
        <f>C35-C36</f>
        <v>1639</v>
      </c>
      <c r="D37" s="48">
        <f>D35-D36</f>
        <v>1058</v>
      </c>
      <c r="E37" s="49">
        <f t="shared" si="0"/>
        <v>2697</v>
      </c>
    </row>
    <row r="38" spans="1:5" ht="12.75">
      <c r="A38" s="9"/>
      <c r="B38" s="25"/>
      <c r="C38" s="40"/>
      <c r="D38" s="14"/>
      <c r="E38" s="15"/>
    </row>
    <row r="39" spans="1:5" ht="12.75">
      <c r="A39" s="9"/>
      <c r="B39" s="10" t="s">
        <v>30</v>
      </c>
      <c r="C39" s="40"/>
      <c r="D39" s="14"/>
      <c r="E39" s="15"/>
    </row>
    <row r="40" spans="1:5" ht="12.75">
      <c r="A40" s="9"/>
      <c r="B40" s="26" t="s">
        <v>31</v>
      </c>
      <c r="C40" s="40"/>
      <c r="D40" s="14"/>
      <c r="E40" s="15"/>
    </row>
    <row r="41" spans="1:5" ht="12.75">
      <c r="A41" s="9"/>
      <c r="B41" s="17" t="s">
        <v>9</v>
      </c>
      <c r="C41" s="40">
        <f>431+90</f>
        <v>521</v>
      </c>
      <c r="D41" s="14">
        <f>150+45</f>
        <v>195</v>
      </c>
      <c r="E41" s="15">
        <f>SUM(C41:D41)</f>
        <v>716</v>
      </c>
    </row>
    <row r="42" spans="1:5" ht="12.75">
      <c r="A42" s="9"/>
      <c r="B42" s="17" t="s">
        <v>10</v>
      </c>
      <c r="C42" s="40">
        <v>196</v>
      </c>
      <c r="D42" s="14">
        <v>13</v>
      </c>
      <c r="E42" s="15">
        <f>SUM(C42:D42)</f>
        <v>209</v>
      </c>
    </row>
    <row r="43" spans="1:5" ht="12.75">
      <c r="A43" s="9"/>
      <c r="B43" s="17" t="s">
        <v>11</v>
      </c>
      <c r="C43" s="40">
        <v>20</v>
      </c>
      <c r="D43" s="14">
        <v>4</v>
      </c>
      <c r="E43" s="15">
        <f>SUM(C43:D43)</f>
        <v>24</v>
      </c>
    </row>
    <row r="44" spans="1:5" ht="12.75">
      <c r="A44" s="9"/>
      <c r="B44" s="17" t="s">
        <v>12</v>
      </c>
      <c r="C44" s="40">
        <v>7</v>
      </c>
      <c r="D44" s="14">
        <v>0</v>
      </c>
      <c r="E44" s="15">
        <f>SUM(C44:D44)</f>
        <v>7</v>
      </c>
    </row>
    <row r="45" spans="1:5" ht="12.75">
      <c r="A45" s="9"/>
      <c r="B45" s="18" t="s">
        <v>99</v>
      </c>
      <c r="C45" s="50">
        <f>SUM(C41:C44)</f>
        <v>744</v>
      </c>
      <c r="D45" s="11">
        <f>SUM(D41:D44)</f>
        <v>212</v>
      </c>
      <c r="E45" s="19">
        <f>SUM(C45:D45)</f>
        <v>956</v>
      </c>
    </row>
    <row r="46" spans="1:5" ht="12.75">
      <c r="A46" s="9"/>
      <c r="B46" s="26" t="s">
        <v>33</v>
      </c>
      <c r="C46" s="40"/>
      <c r="D46" s="14"/>
      <c r="E46" s="15"/>
    </row>
    <row r="47" spans="1:5" ht="12.75">
      <c r="A47" s="9"/>
      <c r="B47" s="17" t="s">
        <v>9</v>
      </c>
      <c r="C47" s="40">
        <v>25</v>
      </c>
      <c r="D47" s="14">
        <v>33</v>
      </c>
      <c r="E47" s="15">
        <f aca="true" t="shared" si="1" ref="E47:E52">SUM(C47:D47)</f>
        <v>58</v>
      </c>
    </row>
    <row r="48" spans="1:5" ht="12.75">
      <c r="A48" s="9"/>
      <c r="B48" s="17" t="s">
        <v>10</v>
      </c>
      <c r="C48" s="40">
        <v>16</v>
      </c>
      <c r="D48" s="14"/>
      <c r="E48" s="15">
        <f t="shared" si="1"/>
        <v>16</v>
      </c>
    </row>
    <row r="49" spans="1:5" ht="12.75">
      <c r="A49" s="9"/>
      <c r="B49" s="17" t="s">
        <v>11</v>
      </c>
      <c r="C49" s="40">
        <v>1</v>
      </c>
      <c r="D49" s="14"/>
      <c r="E49" s="15">
        <f t="shared" si="1"/>
        <v>1</v>
      </c>
    </row>
    <row r="50" spans="1:5" ht="12.75">
      <c r="A50" s="9"/>
      <c r="B50" s="17" t="s">
        <v>12</v>
      </c>
      <c r="C50" s="40">
        <v>2</v>
      </c>
      <c r="D50" s="14"/>
      <c r="E50" s="15">
        <f t="shared" si="1"/>
        <v>2</v>
      </c>
    </row>
    <row r="51" spans="1:5" ht="24">
      <c r="A51" s="9"/>
      <c r="B51" s="18" t="s">
        <v>100</v>
      </c>
      <c r="C51" s="50">
        <f>SUM(C47:C50)</f>
        <v>44</v>
      </c>
      <c r="D51" s="11">
        <f>SUM(D47:D50)</f>
        <v>33</v>
      </c>
      <c r="E51" s="19">
        <f t="shared" si="1"/>
        <v>77</v>
      </c>
    </row>
    <row r="52" spans="1:5" ht="12.75">
      <c r="A52" s="54" t="s">
        <v>35</v>
      </c>
      <c r="B52" s="55" t="s">
        <v>36</v>
      </c>
      <c r="C52" s="51">
        <f>+C51+C45</f>
        <v>788</v>
      </c>
      <c r="D52" s="20">
        <f>+D51+D45</f>
        <v>245</v>
      </c>
      <c r="E52" s="12">
        <f t="shared" si="1"/>
        <v>1033</v>
      </c>
    </row>
    <row r="53" spans="1:5" ht="12.75">
      <c r="A53" s="9"/>
      <c r="B53" s="10"/>
      <c r="C53" s="40"/>
      <c r="D53" s="14"/>
      <c r="E53" s="15"/>
    </row>
    <row r="54" spans="1:5" ht="12.75">
      <c r="A54" s="9"/>
      <c r="B54" s="10" t="s">
        <v>37</v>
      </c>
      <c r="C54" s="40"/>
      <c r="D54" s="14"/>
      <c r="E54" s="15"/>
    </row>
    <row r="55" spans="1:5" ht="12.75">
      <c r="A55" s="9"/>
      <c r="B55" s="17" t="s">
        <v>9</v>
      </c>
      <c r="C55" s="40">
        <v>3</v>
      </c>
      <c r="D55" s="14">
        <f>122+13+4</f>
        <v>139</v>
      </c>
      <c r="E55" s="15">
        <f>SUM(C55:D55)</f>
        <v>142</v>
      </c>
    </row>
    <row r="56" spans="1:5" ht="12.75">
      <c r="A56" s="9"/>
      <c r="B56" s="17" t="s">
        <v>10</v>
      </c>
      <c r="C56" s="40"/>
      <c r="D56" s="14"/>
      <c r="E56" s="15">
        <f>SUM(C56:D56)</f>
        <v>0</v>
      </c>
    </row>
    <row r="57" spans="1:5" ht="12.75">
      <c r="A57" s="9"/>
      <c r="B57" s="17" t="s">
        <v>11</v>
      </c>
      <c r="C57" s="40">
        <v>2</v>
      </c>
      <c r="D57" s="14"/>
      <c r="E57" s="15">
        <f>SUM(C57:D57)</f>
        <v>2</v>
      </c>
    </row>
    <row r="58" spans="1:5" ht="12.75">
      <c r="A58" s="9"/>
      <c r="B58" s="17" t="s">
        <v>12</v>
      </c>
      <c r="C58" s="40">
        <v>4</v>
      </c>
      <c r="D58" s="14"/>
      <c r="E58" s="15">
        <f>SUM(C58:D58)</f>
        <v>4</v>
      </c>
    </row>
    <row r="59" spans="1:5" ht="12.75">
      <c r="A59" s="54" t="s">
        <v>38</v>
      </c>
      <c r="B59" s="57" t="s">
        <v>101</v>
      </c>
      <c r="C59" s="41">
        <f>SUM(C55:C58)</f>
        <v>9</v>
      </c>
      <c r="D59" s="20">
        <f>SUM(D55:D58)</f>
        <v>139</v>
      </c>
      <c r="E59" s="12">
        <f>SUM(C59:D59)</f>
        <v>148</v>
      </c>
    </row>
    <row r="60" spans="1:5" ht="12.75">
      <c r="A60" s="9"/>
      <c r="B60" s="10"/>
      <c r="C60" s="40"/>
      <c r="D60" s="14"/>
      <c r="E60" s="15"/>
    </row>
    <row r="61" spans="1:5" ht="12.75">
      <c r="A61" s="9"/>
      <c r="B61" s="10" t="s">
        <v>40</v>
      </c>
      <c r="C61" s="40"/>
      <c r="D61" s="14"/>
      <c r="E61" s="15"/>
    </row>
    <row r="62" spans="1:5" ht="12.75">
      <c r="A62" s="9"/>
      <c r="B62" s="17" t="s">
        <v>9</v>
      </c>
      <c r="C62" s="40">
        <v>247</v>
      </c>
      <c r="D62" s="14">
        <f>25+132</f>
        <v>157</v>
      </c>
      <c r="E62" s="15">
        <f>SUM(C62:D62)</f>
        <v>404</v>
      </c>
    </row>
    <row r="63" spans="1:5" ht="12.75">
      <c r="A63" s="9"/>
      <c r="B63" s="17" t="s">
        <v>10</v>
      </c>
      <c r="C63" s="40">
        <v>13</v>
      </c>
      <c r="D63" s="14">
        <v>4</v>
      </c>
      <c r="E63" s="15">
        <f>SUM(C63:D63)</f>
        <v>17</v>
      </c>
    </row>
    <row r="64" spans="1:5" ht="12.75">
      <c r="A64" s="9"/>
      <c r="B64" s="17" t="s">
        <v>11</v>
      </c>
      <c r="C64" s="40">
        <v>4</v>
      </c>
      <c r="D64" s="14">
        <v>0</v>
      </c>
      <c r="E64" s="15">
        <f>SUM(C64:D64)</f>
        <v>4</v>
      </c>
    </row>
    <row r="65" spans="1:5" ht="12.75">
      <c r="A65" s="9"/>
      <c r="B65" s="17" t="s">
        <v>12</v>
      </c>
      <c r="C65" s="40">
        <v>5</v>
      </c>
      <c r="D65" s="14">
        <v>0</v>
      </c>
      <c r="E65" s="15">
        <f>SUM(C65:D65)</f>
        <v>5</v>
      </c>
    </row>
    <row r="66" spans="1:5" ht="12.75">
      <c r="A66" s="54" t="s">
        <v>41</v>
      </c>
      <c r="B66" s="57" t="s">
        <v>102</v>
      </c>
      <c r="C66" s="41">
        <f>SUM(C62:C65)</f>
        <v>269</v>
      </c>
      <c r="D66" s="20">
        <f>SUM(D62:D65)</f>
        <v>161</v>
      </c>
      <c r="E66" s="12">
        <f>SUM(C66:D66)</f>
        <v>430</v>
      </c>
    </row>
    <row r="67" spans="1:5" ht="12.75">
      <c r="A67" s="9"/>
      <c r="B67" s="10"/>
      <c r="C67" s="40"/>
      <c r="D67" s="14"/>
      <c r="E67" s="15"/>
    </row>
    <row r="68" spans="1:5" ht="12.75">
      <c r="A68" s="9" t="s">
        <v>43</v>
      </c>
      <c r="B68" s="10" t="s">
        <v>44</v>
      </c>
      <c r="C68" s="41">
        <f>137+1</f>
        <v>138</v>
      </c>
      <c r="D68" s="20">
        <v>2</v>
      </c>
      <c r="E68" s="12">
        <f>SUM(C68:D68)</f>
        <v>140</v>
      </c>
    </row>
    <row r="69" spans="1:5" ht="12.75">
      <c r="A69" s="9"/>
      <c r="B69" s="10"/>
      <c r="C69" s="40"/>
      <c r="D69" s="14"/>
      <c r="E69" s="15"/>
    </row>
    <row r="70" spans="1:5" ht="12.75">
      <c r="A70" s="9"/>
      <c r="B70" s="10" t="s">
        <v>45</v>
      </c>
      <c r="C70" s="40"/>
      <c r="D70" s="14"/>
      <c r="E70" s="15"/>
    </row>
    <row r="71" spans="1:5" ht="12.75">
      <c r="A71" s="9" t="s">
        <v>46</v>
      </c>
      <c r="B71" s="25" t="s">
        <v>47</v>
      </c>
      <c r="C71" s="40">
        <v>16</v>
      </c>
      <c r="D71" s="14">
        <v>16</v>
      </c>
      <c r="E71" s="15">
        <f aca="true" t="shared" si="2" ref="E71:E77">SUM(C71:D71)</f>
        <v>32</v>
      </c>
    </row>
    <row r="72" spans="1:5" ht="12.75">
      <c r="A72" s="9" t="s">
        <v>48</v>
      </c>
      <c r="B72" s="25" t="s">
        <v>49</v>
      </c>
      <c r="C72" s="40">
        <v>104</v>
      </c>
      <c r="D72" s="14">
        <v>83</v>
      </c>
      <c r="E72" s="15">
        <f t="shared" si="2"/>
        <v>187</v>
      </c>
    </row>
    <row r="73" spans="1:5" ht="12.75">
      <c r="A73" s="9" t="s">
        <v>50</v>
      </c>
      <c r="B73" s="25" t="s">
        <v>51</v>
      </c>
      <c r="C73" s="40">
        <v>79</v>
      </c>
      <c r="D73" s="14">
        <v>104</v>
      </c>
      <c r="E73" s="15">
        <f t="shared" si="2"/>
        <v>183</v>
      </c>
    </row>
    <row r="74" spans="1:5" ht="12.75">
      <c r="A74" s="9" t="s">
        <v>52</v>
      </c>
      <c r="B74" s="25" t="s">
        <v>53</v>
      </c>
      <c r="C74" s="40">
        <f>323+8</f>
        <v>331</v>
      </c>
      <c r="D74" s="14">
        <f>317+4</f>
        <v>321</v>
      </c>
      <c r="E74" s="15">
        <f t="shared" si="2"/>
        <v>652</v>
      </c>
    </row>
    <row r="75" spans="1:5" ht="12.75">
      <c r="A75" s="9" t="s">
        <v>54</v>
      </c>
      <c r="B75" s="25" t="s">
        <v>55</v>
      </c>
      <c r="C75" s="41">
        <f>SUM(C71:C74)</f>
        <v>530</v>
      </c>
      <c r="D75" s="20">
        <f>SUM(D71:D74)</f>
        <v>524</v>
      </c>
      <c r="E75" s="12">
        <f t="shared" si="2"/>
        <v>1054</v>
      </c>
    </row>
    <row r="76" spans="1:5" ht="12.75">
      <c r="A76" s="21" t="s">
        <v>56</v>
      </c>
      <c r="B76" s="22" t="s">
        <v>27</v>
      </c>
      <c r="C76" s="42">
        <f>+C36</f>
        <v>77</v>
      </c>
      <c r="D76" s="24">
        <f>+D36</f>
        <v>19</v>
      </c>
      <c r="E76" s="34">
        <f t="shared" si="2"/>
        <v>96</v>
      </c>
    </row>
    <row r="77" spans="1:5" ht="12.75">
      <c r="A77" s="9" t="s">
        <v>57</v>
      </c>
      <c r="B77" s="10" t="s">
        <v>58</v>
      </c>
      <c r="C77" s="41">
        <f>C75-C76</f>
        <v>453</v>
      </c>
      <c r="D77" s="20">
        <f>D75-D76</f>
        <v>505</v>
      </c>
      <c r="E77" s="12">
        <f t="shared" si="2"/>
        <v>958</v>
      </c>
    </row>
    <row r="78" spans="1:5" ht="12.75">
      <c r="A78" s="9"/>
      <c r="B78" s="10"/>
      <c r="C78" s="40"/>
      <c r="D78" s="14"/>
      <c r="E78" s="15"/>
    </row>
    <row r="79" spans="1:5" ht="24">
      <c r="A79" s="9" t="s">
        <v>59</v>
      </c>
      <c r="B79" s="10" t="s">
        <v>60</v>
      </c>
      <c r="C79" s="41">
        <f>C52+C59+C66+C68+C77</f>
        <v>1657</v>
      </c>
      <c r="D79" s="20">
        <f>D52+D59+D66+D68+D77</f>
        <v>1052</v>
      </c>
      <c r="E79" s="12">
        <f>SUM(C79:D79)</f>
        <v>2709</v>
      </c>
    </row>
    <row r="80" spans="1:5" ht="12.75">
      <c r="A80" s="9"/>
      <c r="B80" s="27"/>
      <c r="C80" s="40"/>
      <c r="D80" s="14"/>
      <c r="E80" s="15"/>
    </row>
    <row r="81" spans="1:5" ht="12.75">
      <c r="A81" s="9" t="s">
        <v>61</v>
      </c>
      <c r="B81" s="10" t="s">
        <v>62</v>
      </c>
      <c r="C81" s="41">
        <f>14+3+4</f>
        <v>21</v>
      </c>
      <c r="D81" s="20">
        <f>4+2</f>
        <v>6</v>
      </c>
      <c r="E81" s="12">
        <f>SUM(C81:D81)</f>
        <v>27</v>
      </c>
    </row>
    <row r="82" spans="1:5" ht="12.75">
      <c r="A82" s="9"/>
      <c r="B82" s="27"/>
      <c r="C82" s="40"/>
      <c r="D82" s="14"/>
      <c r="E82" s="15"/>
    </row>
    <row r="83" spans="1:5" ht="24">
      <c r="A83" s="9" t="s">
        <v>63</v>
      </c>
      <c r="B83" s="10" t="s">
        <v>64</v>
      </c>
      <c r="C83" s="41">
        <f>C79+C81</f>
        <v>1678</v>
      </c>
      <c r="D83" s="20">
        <f>D79+D81</f>
        <v>1058</v>
      </c>
      <c r="E83" s="12">
        <f>SUM(C83:D83)</f>
        <v>2736</v>
      </c>
    </row>
    <row r="84" spans="1:5" ht="12.75">
      <c r="A84" s="9"/>
      <c r="B84" s="27"/>
      <c r="C84" s="40"/>
      <c r="D84" s="14"/>
      <c r="E84" s="15"/>
    </row>
    <row r="85" spans="1:5" ht="13.5" thickBot="1">
      <c r="A85" s="28" t="s">
        <v>65</v>
      </c>
      <c r="B85" s="29" t="s">
        <v>66</v>
      </c>
      <c r="C85" s="52">
        <f>+C8+C37-C83</f>
        <v>694</v>
      </c>
      <c r="D85" s="53">
        <f>+D8+D37-D83</f>
        <v>785</v>
      </c>
      <c r="E85" s="30">
        <f>SUM(C85:D85)</f>
        <v>1479</v>
      </c>
    </row>
    <row r="86" spans="1:5" ht="30" customHeight="1">
      <c r="A86" s="69" t="s">
        <v>67</v>
      </c>
      <c r="B86" s="70"/>
      <c r="C86" s="35">
        <f>(C8+C35)-(C76+C83)</f>
        <v>694</v>
      </c>
      <c r="D86" s="35">
        <f>(D8+D35)-(D76+D83)</f>
        <v>785</v>
      </c>
      <c r="E86" s="35">
        <f>(E8+E35)-(E76+E83)</f>
        <v>1479</v>
      </c>
    </row>
    <row r="87" spans="1:5" ht="42.75" customHeight="1">
      <c r="A87" s="67" t="s">
        <v>68</v>
      </c>
      <c r="B87" s="68"/>
      <c r="C87" s="68"/>
      <c r="D87" s="68"/>
      <c r="E87" s="68"/>
    </row>
    <row r="88" spans="1:5" ht="12.75">
      <c r="A88" s="36"/>
      <c r="B88" s="37"/>
      <c r="C88" s="37"/>
      <c r="D88" s="37"/>
      <c r="E88" s="37"/>
    </row>
    <row r="89" spans="1:5" ht="15" customHeight="1">
      <c r="A89" s="62" t="s">
        <v>69</v>
      </c>
      <c r="B89" s="63"/>
      <c r="C89" s="63"/>
      <c r="D89" s="63"/>
      <c r="E89" s="63"/>
    </row>
    <row r="90" ht="12.75">
      <c r="A90" s="31"/>
    </row>
    <row r="91" spans="1:5" ht="45.75" customHeight="1">
      <c r="A91" s="58" t="s">
        <v>70</v>
      </c>
      <c r="B91" s="59"/>
      <c r="C91" s="59"/>
      <c r="D91" s="59"/>
      <c r="E91" s="59"/>
    </row>
    <row r="92" ht="15" customHeight="1">
      <c r="A92" s="32"/>
    </row>
    <row r="93" ht="15.75">
      <c r="A93" s="33" t="s">
        <v>91</v>
      </c>
    </row>
  </sheetData>
  <sheetProtection/>
  <mergeCells count="6">
    <mergeCell ref="A91:E91"/>
    <mergeCell ref="A1:E1"/>
    <mergeCell ref="A89:E89"/>
    <mergeCell ref="C6:E6"/>
    <mergeCell ref="A87:E87"/>
    <mergeCell ref="A86:B86"/>
  </mergeCells>
  <printOptions/>
  <pageMargins left="0.25" right="0.25" top="0.8" bottom="0.33" header="0.48" footer="0.21"/>
  <pageSetup fitToHeight="1" fitToWidth="1" horizontalDpi="600" verticalDpi="600" orientation="portrait" paperSize="5" scale="82"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1">
      <selection activeCell="B6" sqref="B6"/>
    </sheetView>
  </sheetViews>
  <sheetFormatPr defaultColWidth="8.8515625" defaultRowHeight="12.75"/>
  <cols>
    <col min="1" max="1" width="2.8515625" style="0" customWidth="1"/>
    <col min="2" max="2" width="69.8515625" style="0" customWidth="1"/>
  </cols>
  <sheetData>
    <row r="1" spans="1:5" ht="18">
      <c r="A1" s="60" t="s">
        <v>71</v>
      </c>
      <c r="B1" s="61"/>
      <c r="C1" s="61"/>
      <c r="D1" s="61"/>
      <c r="E1" s="61"/>
    </row>
    <row r="2" ht="15.75">
      <c r="A2" s="2" t="s">
        <v>0</v>
      </c>
    </row>
    <row r="3" ht="15.75">
      <c r="A3" s="2" t="s">
        <v>1</v>
      </c>
    </row>
    <row r="4" ht="15.75">
      <c r="A4" s="44" t="str">
        <f>+'Jan '!A4</f>
        <v>YEAR: 1/1/2010 - 12/31/2010</v>
      </c>
    </row>
    <row r="5" ht="13.5" thickBot="1">
      <c r="A5" s="3"/>
    </row>
    <row r="6" spans="1:5" ht="13.5" thickBot="1">
      <c r="A6" s="4"/>
      <c r="B6" s="5" t="str">
        <f>+'Jan '!B6</f>
        <v>NAME OF ORGANIZATION:  Miami Dade Coalition</v>
      </c>
      <c r="C6" s="71" t="s">
        <v>86</v>
      </c>
      <c r="D6" s="72"/>
      <c r="E6" s="73"/>
    </row>
    <row r="7" spans="1:5" ht="12.75">
      <c r="A7" s="4"/>
      <c r="B7" s="6"/>
      <c r="C7" s="38" t="s">
        <v>2</v>
      </c>
      <c r="D7" s="7" t="s">
        <v>3</v>
      </c>
      <c r="E7" s="8" t="s">
        <v>4</v>
      </c>
    </row>
    <row r="8" spans="1:5" ht="12.75">
      <c r="A8" s="9" t="s">
        <v>5</v>
      </c>
      <c r="B8" s="10" t="s">
        <v>6</v>
      </c>
      <c r="C8" s="39">
        <f>+'Sept '!C85</f>
        <v>615</v>
      </c>
      <c r="D8" s="39">
        <f>+'Sept '!D85</f>
        <v>768</v>
      </c>
      <c r="E8" s="12">
        <f>SUM(C8:D8)</f>
        <v>1383</v>
      </c>
    </row>
    <row r="9" spans="1:5" ht="12.75">
      <c r="A9" s="9"/>
      <c r="B9" s="10"/>
      <c r="C9" s="40"/>
      <c r="D9" s="14"/>
      <c r="E9" s="15"/>
    </row>
    <row r="10" spans="1:5" ht="12.75">
      <c r="A10" s="9"/>
      <c r="B10" s="10" t="s">
        <v>7</v>
      </c>
      <c r="C10" s="40"/>
      <c r="D10" s="14"/>
      <c r="E10" s="15"/>
    </row>
    <row r="11" spans="1:5" ht="12.75">
      <c r="A11" s="9"/>
      <c r="B11" s="16" t="s">
        <v>8</v>
      </c>
      <c r="C11" s="40"/>
      <c r="D11" s="14"/>
      <c r="E11" s="15"/>
    </row>
    <row r="12" spans="1:5" ht="12.75">
      <c r="A12" s="9"/>
      <c r="B12" s="17" t="s">
        <v>9</v>
      </c>
      <c r="C12" s="40">
        <f>SUM('Oct '!C12,Nov!C12,'Dec '!C12)</f>
        <v>2462</v>
      </c>
      <c r="D12" s="13">
        <f>SUM('Oct '!D12,Nov!D12,'Dec '!D12)</f>
        <v>1454</v>
      </c>
      <c r="E12" s="15">
        <f>SUM(C12:D12)</f>
        <v>3916</v>
      </c>
    </row>
    <row r="13" spans="1:5" ht="12.75">
      <c r="A13" s="9"/>
      <c r="B13" s="17" t="s">
        <v>10</v>
      </c>
      <c r="C13" s="40">
        <f>SUM('Oct '!C13,Nov!C13,'Dec '!C13)</f>
        <v>353</v>
      </c>
      <c r="D13" s="13">
        <f>SUM('Oct '!D13,Nov!D13,'Dec '!D13)</f>
        <v>592</v>
      </c>
      <c r="E13" s="15">
        <f>SUM(C13:D13)</f>
        <v>945</v>
      </c>
    </row>
    <row r="14" spans="1:5" ht="12.75">
      <c r="A14" s="9"/>
      <c r="B14" s="17" t="s">
        <v>11</v>
      </c>
      <c r="C14" s="40">
        <f>SUM('Oct '!C14,Nov!C14,'Dec '!C14)</f>
        <v>605</v>
      </c>
      <c r="D14" s="13">
        <f>SUM('Oct '!D14,Nov!D14,'Dec '!D14)</f>
        <v>583</v>
      </c>
      <c r="E14" s="15">
        <f>SUM(C14:D14)</f>
        <v>1188</v>
      </c>
    </row>
    <row r="15" spans="1:5" ht="12.75">
      <c r="A15" s="9"/>
      <c r="B15" s="17" t="s">
        <v>12</v>
      </c>
      <c r="C15" s="40">
        <f>SUM('Oct '!C15,Nov!C15,'Dec '!C15)</f>
        <v>1527</v>
      </c>
      <c r="D15" s="13">
        <f>SUM('Oct '!D15,Nov!D15,'Dec '!D15)</f>
        <v>584</v>
      </c>
      <c r="E15" s="15">
        <f>SUM(C15:D15)</f>
        <v>2111</v>
      </c>
    </row>
    <row r="16" spans="1:5" ht="12.75">
      <c r="A16" s="9" t="s">
        <v>13</v>
      </c>
      <c r="B16" s="18" t="s">
        <v>14</v>
      </c>
      <c r="C16" s="39">
        <f>SUM(C12:C15)</f>
        <v>4947</v>
      </c>
      <c r="D16" s="11">
        <f>SUM(D12:D15)</f>
        <v>3213</v>
      </c>
      <c r="E16" s="19">
        <f>SUM(C16:D16)</f>
        <v>8160</v>
      </c>
    </row>
    <row r="17" spans="1:5" ht="12.75">
      <c r="A17" s="9"/>
      <c r="B17" s="16" t="s">
        <v>15</v>
      </c>
      <c r="C17" s="40"/>
      <c r="D17" s="14"/>
      <c r="E17" s="15"/>
    </row>
    <row r="18" spans="1:5" ht="12.75">
      <c r="A18" s="9"/>
      <c r="B18" s="17" t="s">
        <v>9</v>
      </c>
      <c r="C18" s="40">
        <f>SUM('Oct '!C18,Nov!C18,'Dec '!C18)</f>
        <v>79</v>
      </c>
      <c r="D18" s="13">
        <f>SUM('Oct '!D18,Nov!D18,'Dec '!D18)</f>
        <v>154</v>
      </c>
      <c r="E18" s="15">
        <f>SUM(C18:D18)</f>
        <v>233</v>
      </c>
    </row>
    <row r="19" spans="1:5" ht="12.75">
      <c r="A19" s="9"/>
      <c r="B19" s="17" t="s">
        <v>10</v>
      </c>
      <c r="C19" s="40">
        <f>SUM('Oct '!C19,Nov!C19,'Dec '!C19)</f>
        <v>0</v>
      </c>
      <c r="D19" s="13">
        <f>SUM('Oct '!D19,Nov!D19,'Dec '!D19)</f>
        <v>0</v>
      </c>
      <c r="E19" s="15">
        <f>SUM(C19:D19)</f>
        <v>0</v>
      </c>
    </row>
    <row r="20" spans="1:5" ht="12.75">
      <c r="A20" s="9"/>
      <c r="B20" s="17" t="s">
        <v>11</v>
      </c>
      <c r="C20" s="40">
        <f>SUM('Oct '!C20,Nov!C20,'Dec '!C20)</f>
        <v>2</v>
      </c>
      <c r="D20" s="13">
        <f>SUM('Oct '!D20,Nov!D20,'Dec '!D20)</f>
        <v>0</v>
      </c>
      <c r="E20" s="15">
        <f>SUM(C20:D20)</f>
        <v>2</v>
      </c>
    </row>
    <row r="21" spans="1:5" ht="12.75">
      <c r="A21" s="9"/>
      <c r="B21" s="17" t="s">
        <v>12</v>
      </c>
      <c r="C21" s="40">
        <f>SUM('Oct '!C21,Nov!C21,'Dec '!C21)</f>
        <v>8</v>
      </c>
      <c r="D21" s="13">
        <f>SUM('Oct '!D21,Nov!D21,'Dec '!D21)</f>
        <v>0</v>
      </c>
      <c r="E21" s="15">
        <f>SUM(C21:D21)</f>
        <v>8</v>
      </c>
    </row>
    <row r="22" spans="1:5" ht="12.75">
      <c r="A22" s="9" t="s">
        <v>16</v>
      </c>
      <c r="B22" s="18" t="s">
        <v>17</v>
      </c>
      <c r="C22" s="39">
        <f>SUM(C18:C21)</f>
        <v>89</v>
      </c>
      <c r="D22" s="11">
        <f>SUM(D18:D21)</f>
        <v>154</v>
      </c>
      <c r="E22" s="19">
        <f>SUM(C22:D22)</f>
        <v>243</v>
      </c>
    </row>
    <row r="23" spans="1:5" ht="12.75">
      <c r="A23" s="9"/>
      <c r="B23" s="16" t="s">
        <v>18</v>
      </c>
      <c r="C23" s="40"/>
      <c r="D23" s="14"/>
      <c r="E23" s="15"/>
    </row>
    <row r="24" spans="1:5" ht="12.75">
      <c r="A24" s="9"/>
      <c r="B24" s="17" t="s">
        <v>9</v>
      </c>
      <c r="C24" s="40">
        <f>SUM('Oct '!C24,Nov!C24,'Dec '!C24)</f>
        <v>2</v>
      </c>
      <c r="D24" s="13">
        <f>SUM('Oct '!D24,Nov!D24,'Dec '!D24)</f>
        <v>55</v>
      </c>
      <c r="E24" s="15">
        <f>SUM(C24:D24)</f>
        <v>57</v>
      </c>
    </row>
    <row r="25" spans="1:5" ht="12.75">
      <c r="A25" s="9"/>
      <c r="B25" s="17" t="s">
        <v>10</v>
      </c>
      <c r="C25" s="40">
        <f>SUM('Oct '!C25,Nov!C25,'Dec '!C25)</f>
        <v>0</v>
      </c>
      <c r="D25" s="13">
        <f>SUM('Oct '!D25,Nov!D25,'Dec '!D25)</f>
        <v>0</v>
      </c>
      <c r="E25" s="15">
        <f>SUM(C25:D25)</f>
        <v>0</v>
      </c>
    </row>
    <row r="26" spans="1:5" ht="12.75">
      <c r="A26" s="9"/>
      <c r="B26" s="17" t="s">
        <v>11</v>
      </c>
      <c r="C26" s="40">
        <f>SUM('Oct '!C26,Nov!C26,'Dec '!C26)</f>
        <v>0</v>
      </c>
      <c r="D26" s="13">
        <f>SUM('Oct '!D26,Nov!D26,'Dec '!D26)</f>
        <v>0</v>
      </c>
      <c r="E26" s="15">
        <f>SUM(C26:D26)</f>
        <v>0</v>
      </c>
    </row>
    <row r="27" spans="1:5" ht="12.75">
      <c r="A27" s="9"/>
      <c r="B27" s="17" t="s">
        <v>12</v>
      </c>
      <c r="C27" s="40">
        <f>SUM('Oct '!C27,Nov!C27,'Dec '!C27)</f>
        <v>0</v>
      </c>
      <c r="D27" s="13">
        <f>SUM('Oct '!D27,Nov!D27,'Dec '!D27)</f>
        <v>0</v>
      </c>
      <c r="E27" s="15">
        <f>SUM(C27:D27)</f>
        <v>0</v>
      </c>
    </row>
    <row r="28" spans="1:5" ht="12.75">
      <c r="A28" s="9" t="s">
        <v>19</v>
      </c>
      <c r="B28" s="18" t="s">
        <v>20</v>
      </c>
      <c r="C28" s="39">
        <f>SUM(C24:C27)</f>
        <v>2</v>
      </c>
      <c r="D28" s="11">
        <f>SUM(D24:D27)</f>
        <v>55</v>
      </c>
      <c r="E28" s="19">
        <f>SUM(C28:D28)</f>
        <v>57</v>
      </c>
    </row>
    <row r="29" spans="1:5" ht="12.75">
      <c r="A29" s="9"/>
      <c r="B29" s="16" t="s">
        <v>21</v>
      </c>
      <c r="C29" s="40"/>
      <c r="D29" s="14"/>
      <c r="E29" s="15"/>
    </row>
    <row r="30" spans="1:5" ht="12.75">
      <c r="A30" s="9"/>
      <c r="B30" s="17" t="s">
        <v>9</v>
      </c>
      <c r="C30" s="40">
        <f>SUM('Oct '!C30,Nov!C30,'Dec '!C30)</f>
        <v>0</v>
      </c>
      <c r="D30" s="13">
        <f>SUM('Oct '!D30,Nov!D30,'Dec '!D30)</f>
        <v>0</v>
      </c>
      <c r="E30" s="15">
        <f aca="true" t="shared" si="0" ref="E30:E37">SUM(C30:D30)</f>
        <v>0</v>
      </c>
    </row>
    <row r="31" spans="1:5" ht="12.75">
      <c r="A31" s="9"/>
      <c r="B31" s="17" t="s">
        <v>10</v>
      </c>
      <c r="C31" s="40">
        <f>SUM('Oct '!C31,Nov!C31,'Dec '!C31)</f>
        <v>0</v>
      </c>
      <c r="D31" s="13">
        <f>SUM('Oct '!D31,Nov!D31,'Dec '!D31)</f>
        <v>0</v>
      </c>
      <c r="E31" s="15">
        <f t="shared" si="0"/>
        <v>0</v>
      </c>
    </row>
    <row r="32" spans="1:5" ht="12.75">
      <c r="A32" s="9"/>
      <c r="B32" s="17" t="s">
        <v>11</v>
      </c>
      <c r="C32" s="40">
        <f>SUM('Oct '!C32,Nov!C32,'Dec '!C32)</f>
        <v>0</v>
      </c>
      <c r="D32" s="13">
        <f>SUM('Oct '!D32,Nov!D32,'Dec '!D32)</f>
        <v>0</v>
      </c>
      <c r="E32" s="15">
        <f t="shared" si="0"/>
        <v>0</v>
      </c>
    </row>
    <row r="33" spans="1:5" ht="12.75">
      <c r="A33" s="9"/>
      <c r="B33" s="17" t="s">
        <v>12</v>
      </c>
      <c r="C33" s="40">
        <f>SUM('Oct '!C33,Nov!C33,'Dec '!C33)</f>
        <v>257</v>
      </c>
      <c r="D33" s="13">
        <f>SUM('Oct '!D33,Nov!D33,'Dec '!D33)</f>
        <v>49</v>
      </c>
      <c r="E33" s="15">
        <f t="shared" si="0"/>
        <v>306</v>
      </c>
    </row>
    <row r="34" spans="1:5" ht="12.75">
      <c r="A34" s="9" t="s">
        <v>22</v>
      </c>
      <c r="B34" s="18" t="s">
        <v>23</v>
      </c>
      <c r="C34" s="39">
        <f>SUM(C30:C33)</f>
        <v>257</v>
      </c>
      <c r="D34" s="11">
        <f>SUM(D30:D33)</f>
        <v>49</v>
      </c>
      <c r="E34" s="19">
        <f t="shared" si="0"/>
        <v>306</v>
      </c>
    </row>
    <row r="35" spans="1:5" ht="12.75">
      <c r="A35" s="9" t="s">
        <v>24</v>
      </c>
      <c r="B35" s="10" t="s">
        <v>25</v>
      </c>
      <c r="C35" s="41">
        <f>C16+C22+C28+C34</f>
        <v>5295</v>
      </c>
      <c r="D35" s="20">
        <f>D16+D22+D28+D34</f>
        <v>3471</v>
      </c>
      <c r="E35" s="12">
        <f t="shared" si="0"/>
        <v>8766</v>
      </c>
    </row>
    <row r="36" spans="1:5" ht="12.75">
      <c r="A36" s="21" t="s">
        <v>26</v>
      </c>
      <c r="B36" s="22" t="s">
        <v>27</v>
      </c>
      <c r="C36" s="42">
        <f>SUM('Oct '!C36,Nov!C36,'Dec '!C36)</f>
        <v>257</v>
      </c>
      <c r="D36" s="23">
        <f>SUM('Oct '!D36,Nov!D36,'Dec '!D36)</f>
        <v>49</v>
      </c>
      <c r="E36" s="34">
        <f t="shared" si="0"/>
        <v>306</v>
      </c>
    </row>
    <row r="37" spans="1:5" ht="12.75">
      <c r="A37" s="9" t="s">
        <v>28</v>
      </c>
      <c r="B37" s="10" t="s">
        <v>29</v>
      </c>
      <c r="C37" s="41">
        <f>C35-C36</f>
        <v>5038</v>
      </c>
      <c r="D37" s="20">
        <f>D35-D36</f>
        <v>3422</v>
      </c>
      <c r="E37" s="12">
        <f t="shared" si="0"/>
        <v>8460</v>
      </c>
    </row>
    <row r="38" spans="1:5" ht="12.75">
      <c r="A38" s="9"/>
      <c r="B38" s="25"/>
      <c r="C38" s="40"/>
      <c r="D38" s="14"/>
      <c r="E38" s="15"/>
    </row>
    <row r="39" spans="1:5" ht="12.75">
      <c r="A39" s="9"/>
      <c r="B39" s="10" t="s">
        <v>30</v>
      </c>
      <c r="C39" s="40"/>
      <c r="D39" s="14"/>
      <c r="E39" s="15"/>
    </row>
    <row r="40" spans="1:5" ht="12.75">
      <c r="A40" s="9"/>
      <c r="B40" s="26" t="s">
        <v>31</v>
      </c>
      <c r="C40" s="40"/>
      <c r="D40" s="14"/>
      <c r="E40" s="15"/>
    </row>
    <row r="41" spans="1:5" ht="12.75">
      <c r="A41" s="9"/>
      <c r="B41" s="17" t="s">
        <v>9</v>
      </c>
      <c r="C41" s="40">
        <f>SUM('Oct '!C41,Nov!C41,'Dec '!C41)</f>
        <v>1457</v>
      </c>
      <c r="D41" s="13">
        <f>SUM('Oct '!D41,Nov!D41,'Dec '!D41)</f>
        <v>616</v>
      </c>
      <c r="E41" s="15">
        <f>SUM(C41:D41)</f>
        <v>2073</v>
      </c>
    </row>
    <row r="42" spans="1:5" ht="12.75">
      <c r="A42" s="9"/>
      <c r="B42" s="17" t="s">
        <v>10</v>
      </c>
      <c r="C42" s="40">
        <f>SUM('Oct '!C42,Nov!C42,'Dec '!C42)</f>
        <v>547</v>
      </c>
      <c r="D42" s="13">
        <f>SUM('Oct '!D42,Nov!D42,'Dec '!D42)</f>
        <v>43</v>
      </c>
      <c r="E42" s="15">
        <f>SUM(C42:D42)</f>
        <v>590</v>
      </c>
    </row>
    <row r="43" spans="1:5" ht="12.75">
      <c r="A43" s="9"/>
      <c r="B43" s="17" t="s">
        <v>11</v>
      </c>
      <c r="C43" s="40">
        <f>SUM('Oct '!C43,Nov!C43,'Dec '!C43)</f>
        <v>56</v>
      </c>
      <c r="D43" s="13">
        <f>SUM('Oct '!D43,Nov!D43,'Dec '!D43)</f>
        <v>12</v>
      </c>
      <c r="E43" s="15">
        <f>SUM(C43:D43)</f>
        <v>68</v>
      </c>
    </row>
    <row r="44" spans="1:5" ht="12.75">
      <c r="A44" s="9"/>
      <c r="B44" s="17" t="s">
        <v>12</v>
      </c>
      <c r="C44" s="40">
        <f>SUM('Oct '!C44,Nov!C44,'Dec '!C44)</f>
        <v>18</v>
      </c>
      <c r="D44" s="13">
        <f>SUM('Oct '!D44,Nov!D44,'Dec '!D44)</f>
        <v>0</v>
      </c>
      <c r="E44" s="15">
        <f>SUM(C44:D44)</f>
        <v>18</v>
      </c>
    </row>
    <row r="45" spans="1:5" ht="12.75">
      <c r="A45" s="9"/>
      <c r="B45" s="18" t="s">
        <v>32</v>
      </c>
      <c r="C45" s="39">
        <f>SUM(C41:C44)</f>
        <v>2078</v>
      </c>
      <c r="D45" s="11">
        <f>SUM(D41:D44)</f>
        <v>671</v>
      </c>
      <c r="E45" s="19">
        <f>SUM(C45:D45)</f>
        <v>2749</v>
      </c>
    </row>
    <row r="46" spans="1:5" ht="12.75">
      <c r="A46" s="9"/>
      <c r="B46" s="26" t="s">
        <v>33</v>
      </c>
      <c r="C46" s="40"/>
      <c r="D46" s="14"/>
      <c r="E46" s="15"/>
    </row>
    <row r="47" spans="1:5" ht="12.75">
      <c r="A47" s="9"/>
      <c r="B47" s="17" t="s">
        <v>9</v>
      </c>
      <c r="C47" s="40">
        <f>SUM('Oct '!C47,Nov!C47,'Dec '!C47)</f>
        <v>85</v>
      </c>
      <c r="D47" s="13">
        <f>SUM('Oct '!D47,Nov!D47,'Dec '!D47)</f>
        <v>117</v>
      </c>
      <c r="E47" s="15">
        <f aca="true" t="shared" si="1" ref="E47:E52">SUM(C47:D47)</f>
        <v>202</v>
      </c>
    </row>
    <row r="48" spans="1:5" ht="12.75">
      <c r="A48" s="9"/>
      <c r="B48" s="17" t="s">
        <v>10</v>
      </c>
      <c r="C48" s="40">
        <f>SUM('Oct '!C48,Nov!C48,'Dec '!C48)</f>
        <v>41</v>
      </c>
      <c r="D48" s="13">
        <f>SUM('Oct '!D48,Nov!D48,'Dec '!D48)</f>
        <v>0</v>
      </c>
      <c r="E48" s="15">
        <f t="shared" si="1"/>
        <v>41</v>
      </c>
    </row>
    <row r="49" spans="1:5" ht="12.75">
      <c r="A49" s="9"/>
      <c r="B49" s="17" t="s">
        <v>11</v>
      </c>
      <c r="C49" s="40">
        <f>SUM('Oct '!C49,Nov!C49,'Dec '!C49)</f>
        <v>3</v>
      </c>
      <c r="D49" s="13">
        <f>SUM('Oct '!D49,Nov!D49,'Dec '!D49)</f>
        <v>0</v>
      </c>
      <c r="E49" s="15">
        <f t="shared" si="1"/>
        <v>3</v>
      </c>
    </row>
    <row r="50" spans="1:5" ht="12.75">
      <c r="A50" s="9"/>
      <c r="B50" s="17" t="s">
        <v>12</v>
      </c>
      <c r="C50" s="40">
        <f>SUM('Oct '!C50,Nov!C50,'Dec '!C50)</f>
        <v>2</v>
      </c>
      <c r="D50" s="13">
        <f>SUM('Oct '!D50,Nov!D50,'Dec '!D50)</f>
        <v>0</v>
      </c>
      <c r="E50" s="15">
        <f t="shared" si="1"/>
        <v>2</v>
      </c>
    </row>
    <row r="51" spans="1:5" ht="24">
      <c r="A51" s="9"/>
      <c r="B51" s="18" t="s">
        <v>34</v>
      </c>
      <c r="C51" s="39">
        <f>SUM(C47:C50)</f>
        <v>131</v>
      </c>
      <c r="D51" s="11">
        <f>SUM(D47:D50)</f>
        <v>117</v>
      </c>
      <c r="E51" s="19">
        <f t="shared" si="1"/>
        <v>248</v>
      </c>
    </row>
    <row r="52" spans="1:5" ht="12.75">
      <c r="A52" s="9" t="s">
        <v>35</v>
      </c>
      <c r="B52" s="18" t="s">
        <v>36</v>
      </c>
      <c r="C52" s="41">
        <f>C45+C51</f>
        <v>2209</v>
      </c>
      <c r="D52" s="20">
        <f>D45+D51</f>
        <v>788</v>
      </c>
      <c r="E52" s="12">
        <f t="shared" si="1"/>
        <v>2997</v>
      </c>
    </row>
    <row r="53" spans="1:5" ht="12.75">
      <c r="A53" s="9"/>
      <c r="B53" s="10"/>
      <c r="C53" s="40"/>
      <c r="D53" s="14"/>
      <c r="E53" s="15"/>
    </row>
    <row r="54" spans="1:5" ht="12.75">
      <c r="A54" s="9"/>
      <c r="B54" s="10" t="s">
        <v>37</v>
      </c>
      <c r="C54" s="40"/>
      <c r="D54" s="14"/>
      <c r="E54" s="15"/>
    </row>
    <row r="55" spans="1:5" ht="12.75">
      <c r="A55" s="9"/>
      <c r="B55" s="17" t="s">
        <v>9</v>
      </c>
      <c r="C55" s="40">
        <f>SUM('Oct '!C55,Nov!C55,'Dec '!C55)</f>
        <v>79</v>
      </c>
      <c r="D55" s="13">
        <f>SUM('Oct '!D55,Nov!D55,'Dec '!D55)</f>
        <v>154</v>
      </c>
      <c r="E55" s="15">
        <f>SUM(C55:D55)</f>
        <v>233</v>
      </c>
    </row>
    <row r="56" spans="1:5" ht="12.75">
      <c r="A56" s="9"/>
      <c r="B56" s="17" t="s">
        <v>10</v>
      </c>
      <c r="C56" s="40">
        <f>SUM('Oct '!C56,Nov!C56,'Dec '!C56)</f>
        <v>0</v>
      </c>
      <c r="D56" s="13">
        <f>SUM('Oct '!D56,Nov!D56,'Dec '!D56)</f>
        <v>0</v>
      </c>
      <c r="E56" s="15">
        <f>SUM(C56:D56)</f>
        <v>0</v>
      </c>
    </row>
    <row r="57" spans="1:5" ht="12.75">
      <c r="A57" s="9"/>
      <c r="B57" s="17" t="s">
        <v>11</v>
      </c>
      <c r="C57" s="40">
        <f>SUM('Oct '!C57,Nov!C57,'Dec '!C57)</f>
        <v>2</v>
      </c>
      <c r="D57" s="13">
        <f>SUM('Oct '!D57,Nov!D57,'Dec '!D57)</f>
        <v>0</v>
      </c>
      <c r="E57" s="15">
        <f>SUM(C57:D57)</f>
        <v>2</v>
      </c>
    </row>
    <row r="58" spans="1:5" ht="12.75">
      <c r="A58" s="9"/>
      <c r="B58" s="17" t="s">
        <v>12</v>
      </c>
      <c r="C58" s="40">
        <f>SUM('Oct '!C58,Nov!C58,'Dec '!C58)</f>
        <v>8</v>
      </c>
      <c r="D58" s="13">
        <f>SUM('Oct '!D58,Nov!D58,'Dec '!D58)</f>
        <v>0</v>
      </c>
      <c r="E58" s="15">
        <f>SUM(C58:D58)</f>
        <v>8</v>
      </c>
    </row>
    <row r="59" spans="1:5" ht="12.75">
      <c r="A59" s="9" t="s">
        <v>38</v>
      </c>
      <c r="B59" s="10" t="s">
        <v>39</v>
      </c>
      <c r="C59" s="41">
        <f>SUM(C55:C58)</f>
        <v>89</v>
      </c>
      <c r="D59" s="20">
        <f>SUM(D55:D58)</f>
        <v>154</v>
      </c>
      <c r="E59" s="12">
        <f>SUM(C59:D59)</f>
        <v>243</v>
      </c>
    </row>
    <row r="60" spans="1:5" ht="12.75">
      <c r="A60" s="9"/>
      <c r="B60" s="10"/>
      <c r="C60" s="40"/>
      <c r="D60" s="14"/>
      <c r="E60" s="15"/>
    </row>
    <row r="61" spans="1:5" ht="12.75">
      <c r="A61" s="9"/>
      <c r="B61" s="10" t="s">
        <v>40</v>
      </c>
      <c r="C61" s="40"/>
      <c r="D61" s="14"/>
      <c r="E61" s="15"/>
    </row>
    <row r="62" spans="1:5" ht="12.75">
      <c r="A62" s="9"/>
      <c r="B62" s="17" t="s">
        <v>9</v>
      </c>
      <c r="C62" s="40">
        <f>SUM('Oct '!C62,Nov!C62,'Dec '!C62)</f>
        <v>767</v>
      </c>
      <c r="D62" s="13">
        <f>SUM('Oct '!D62,Nov!D62,'Dec '!D62)</f>
        <v>344</v>
      </c>
      <c r="E62" s="15">
        <f>SUM(C62:D62)</f>
        <v>1111</v>
      </c>
    </row>
    <row r="63" spans="1:5" ht="12.75">
      <c r="A63" s="9"/>
      <c r="B63" s="17" t="s">
        <v>10</v>
      </c>
      <c r="C63" s="40">
        <f>SUM('Oct '!C63,Nov!C63,'Dec '!C63)</f>
        <v>41</v>
      </c>
      <c r="D63" s="13">
        <f>SUM('Oct '!D63,Nov!D63,'Dec '!D63)</f>
        <v>8</v>
      </c>
      <c r="E63" s="15">
        <f>SUM(C63:D63)</f>
        <v>49</v>
      </c>
    </row>
    <row r="64" spans="1:5" ht="12.75">
      <c r="A64" s="9"/>
      <c r="B64" s="17" t="s">
        <v>11</v>
      </c>
      <c r="C64" s="40">
        <f>SUM('Oct '!C64,Nov!C64,'Dec '!C64)</f>
        <v>10</v>
      </c>
      <c r="D64" s="13">
        <f>SUM('Oct '!D64,Nov!D64,'Dec '!D64)</f>
        <v>0</v>
      </c>
      <c r="E64" s="15">
        <f>SUM(C64:D64)</f>
        <v>10</v>
      </c>
    </row>
    <row r="65" spans="1:5" ht="12.75">
      <c r="A65" s="9"/>
      <c r="B65" s="17" t="s">
        <v>12</v>
      </c>
      <c r="C65" s="40">
        <f>SUM('Oct '!C65,Nov!C65,'Dec '!C65)</f>
        <v>16</v>
      </c>
      <c r="D65" s="13">
        <f>SUM('Oct '!D65,Nov!D65,'Dec '!D65)</f>
        <v>0</v>
      </c>
      <c r="E65" s="15">
        <f>SUM(C65:D65)</f>
        <v>16</v>
      </c>
    </row>
    <row r="66" spans="1:5" ht="12.75">
      <c r="A66" s="9" t="s">
        <v>41</v>
      </c>
      <c r="B66" s="10" t="s">
        <v>42</v>
      </c>
      <c r="C66" s="41">
        <f>SUM(C62:C65)</f>
        <v>834</v>
      </c>
      <c r="D66" s="20">
        <f>SUM(D62:D65)</f>
        <v>352</v>
      </c>
      <c r="E66" s="12">
        <f>SUM(C66:D66)</f>
        <v>1186</v>
      </c>
    </row>
    <row r="67" spans="1:5" ht="12.75">
      <c r="A67" s="9"/>
      <c r="B67" s="10"/>
      <c r="C67" s="40"/>
      <c r="D67" s="14"/>
      <c r="E67" s="15"/>
    </row>
    <row r="68" spans="1:5" ht="12.75">
      <c r="A68" s="9" t="s">
        <v>43</v>
      </c>
      <c r="B68" s="10" t="s">
        <v>44</v>
      </c>
      <c r="C68" s="40">
        <f>SUM('Oct '!C68,Nov!C68,'Dec '!C68)</f>
        <v>389</v>
      </c>
      <c r="D68" s="13">
        <f>SUM('Oct '!D68,Nov!D68,'Dec '!D68)</f>
        <v>15</v>
      </c>
      <c r="E68" s="12">
        <f>SUM(C68:D68)</f>
        <v>404</v>
      </c>
    </row>
    <row r="69" spans="1:5" ht="12.75">
      <c r="A69" s="9"/>
      <c r="B69" s="10"/>
      <c r="C69" s="40"/>
      <c r="D69" s="14"/>
      <c r="E69" s="15"/>
    </row>
    <row r="70" spans="1:5" ht="12.75">
      <c r="A70" s="9"/>
      <c r="B70" s="10" t="s">
        <v>45</v>
      </c>
      <c r="C70" s="40"/>
      <c r="D70" s="14"/>
      <c r="E70" s="15"/>
    </row>
    <row r="71" spans="1:5" ht="12.75">
      <c r="A71" s="9" t="s">
        <v>46</v>
      </c>
      <c r="B71" s="25" t="s">
        <v>47</v>
      </c>
      <c r="C71" s="40">
        <f>SUM('Oct '!C71,Nov!C71,'Dec '!C71)</f>
        <v>49</v>
      </c>
      <c r="D71" s="13">
        <f>SUM('Oct '!D71,Nov!D71,'Dec '!D71)</f>
        <v>64</v>
      </c>
      <c r="E71" s="15">
        <f aca="true" t="shared" si="2" ref="E71:E77">SUM(C71:D71)</f>
        <v>113</v>
      </c>
    </row>
    <row r="72" spans="1:5" ht="12.75">
      <c r="A72" s="9" t="s">
        <v>48</v>
      </c>
      <c r="B72" s="25" t="s">
        <v>49</v>
      </c>
      <c r="C72" s="40">
        <f>SUM('Oct '!C72,Nov!C72,'Dec '!C72)</f>
        <v>325</v>
      </c>
      <c r="D72" s="13">
        <f>SUM('Oct '!D72,Nov!D72,'Dec '!D72)</f>
        <v>338</v>
      </c>
      <c r="E72" s="15">
        <f t="shared" si="2"/>
        <v>663</v>
      </c>
    </row>
    <row r="73" spans="1:5" ht="12.75">
      <c r="A73" s="9" t="s">
        <v>50</v>
      </c>
      <c r="B73" s="25" t="s">
        <v>51</v>
      </c>
      <c r="C73" s="40">
        <f>SUM('Oct '!C73,Nov!C73,'Dec '!C73)</f>
        <v>246</v>
      </c>
      <c r="D73" s="13">
        <f>SUM('Oct '!D73,Nov!D73,'Dec '!D73)</f>
        <v>424</v>
      </c>
      <c r="E73" s="15">
        <f t="shared" si="2"/>
        <v>670</v>
      </c>
    </row>
    <row r="74" spans="1:5" ht="12.75">
      <c r="A74" s="9" t="s">
        <v>52</v>
      </c>
      <c r="B74" s="25" t="s">
        <v>53</v>
      </c>
      <c r="C74" s="40">
        <f>SUM('Oct '!C74,Nov!C74,'Dec '!C74)</f>
        <v>1023</v>
      </c>
      <c r="D74" s="13">
        <f>SUM('Oct '!D74,Nov!D74,'Dec '!D74)</f>
        <v>1301</v>
      </c>
      <c r="E74" s="15">
        <f t="shared" si="2"/>
        <v>2324</v>
      </c>
    </row>
    <row r="75" spans="1:5" ht="12.75">
      <c r="A75" s="9" t="s">
        <v>54</v>
      </c>
      <c r="B75" s="25" t="s">
        <v>55</v>
      </c>
      <c r="C75" s="41">
        <f>SUM(C71:C74)</f>
        <v>1643</v>
      </c>
      <c r="D75" s="20">
        <f>SUM(D71:D74)</f>
        <v>2127</v>
      </c>
      <c r="E75" s="12">
        <f t="shared" si="2"/>
        <v>3770</v>
      </c>
    </row>
    <row r="76" spans="1:5" ht="12.75">
      <c r="A76" s="21" t="s">
        <v>56</v>
      </c>
      <c r="B76" s="22" t="s">
        <v>27</v>
      </c>
      <c r="C76" s="42">
        <f>SUM('Oct '!C76,Nov!C76,'Dec '!C76)</f>
        <v>257</v>
      </c>
      <c r="D76" s="23">
        <f>SUM('Oct '!D76,Nov!D76,'Dec '!D76)</f>
        <v>49</v>
      </c>
      <c r="E76" s="34">
        <f t="shared" si="2"/>
        <v>306</v>
      </c>
    </row>
    <row r="77" spans="1:5" ht="12.75">
      <c r="A77" s="9" t="s">
        <v>57</v>
      </c>
      <c r="B77" s="10" t="s">
        <v>58</v>
      </c>
      <c r="C77" s="41">
        <f>C75-C76</f>
        <v>1386</v>
      </c>
      <c r="D77" s="20">
        <f>D75-D76</f>
        <v>2078</v>
      </c>
      <c r="E77" s="12">
        <f t="shared" si="2"/>
        <v>3464</v>
      </c>
    </row>
    <row r="78" spans="1:5" ht="12.75">
      <c r="A78" s="9"/>
      <c r="B78" s="10"/>
      <c r="C78" s="40"/>
      <c r="D78" s="14"/>
      <c r="E78" s="15"/>
    </row>
    <row r="79" spans="1:5" ht="24">
      <c r="A79" s="9" t="s">
        <v>59</v>
      </c>
      <c r="B79" s="10" t="s">
        <v>60</v>
      </c>
      <c r="C79" s="41">
        <f>C52+C59+C66+C68+C77</f>
        <v>4907</v>
      </c>
      <c r="D79" s="20">
        <f>D52+D59+D66+D68+D77</f>
        <v>3387</v>
      </c>
      <c r="E79" s="12">
        <f>SUM(C79:D79)</f>
        <v>8294</v>
      </c>
    </row>
    <row r="80" spans="1:5" ht="12.75">
      <c r="A80" s="9"/>
      <c r="B80" s="27"/>
      <c r="C80" s="40"/>
      <c r="D80" s="14"/>
      <c r="E80" s="15"/>
    </row>
    <row r="81" spans="1:5" ht="12.75">
      <c r="A81" s="9" t="s">
        <v>61</v>
      </c>
      <c r="B81" s="10" t="s">
        <v>62</v>
      </c>
      <c r="C81" s="40">
        <f>SUM('Oct '!C81,Nov!C81,'Dec '!C81)</f>
        <v>52</v>
      </c>
      <c r="D81" s="13">
        <f>SUM('Oct '!D81,Nov!D81,'Dec '!D81)</f>
        <v>18</v>
      </c>
      <c r="E81" s="12">
        <f>SUM(C81:D81)</f>
        <v>70</v>
      </c>
    </row>
    <row r="82" spans="1:5" ht="12.75">
      <c r="A82" s="9"/>
      <c r="B82" s="27"/>
      <c r="C82" s="40"/>
      <c r="D82" s="14"/>
      <c r="E82" s="15"/>
    </row>
    <row r="83" spans="1:5" ht="24">
      <c r="A83" s="9" t="s">
        <v>63</v>
      </c>
      <c r="B83" s="10" t="s">
        <v>64</v>
      </c>
      <c r="C83" s="41">
        <f>C79+C81</f>
        <v>4959</v>
      </c>
      <c r="D83" s="20">
        <f>D79+D81</f>
        <v>3405</v>
      </c>
      <c r="E83" s="12">
        <f>SUM(C83:D83)</f>
        <v>8364</v>
      </c>
    </row>
    <row r="84" spans="1:5" ht="12.75">
      <c r="A84" s="9"/>
      <c r="B84" s="27"/>
      <c r="C84" s="40"/>
      <c r="D84" s="14"/>
      <c r="E84" s="15"/>
    </row>
    <row r="85" spans="1:5" ht="13.5" thickBot="1">
      <c r="A85" s="28" t="s">
        <v>65</v>
      </c>
      <c r="B85" s="29" t="s">
        <v>66</v>
      </c>
      <c r="C85" s="43">
        <f>+C8+C37-C83</f>
        <v>694</v>
      </c>
      <c r="D85" s="43">
        <f>+D8+D37-D83</f>
        <v>785</v>
      </c>
      <c r="E85" s="30">
        <f>SUM(C85:D85)</f>
        <v>1479</v>
      </c>
    </row>
    <row r="86" spans="1:5" ht="30" customHeight="1">
      <c r="A86" s="69" t="s">
        <v>67</v>
      </c>
      <c r="B86" s="70"/>
      <c r="C86" s="35">
        <f>(C8+C35)-(C76+C83)</f>
        <v>694</v>
      </c>
      <c r="D86" s="35">
        <f>(D8+D35)-(D76+D83)</f>
        <v>785</v>
      </c>
      <c r="E86" s="35">
        <f>(E8+E35)-(E76+E83)</f>
        <v>1479</v>
      </c>
    </row>
    <row r="87" spans="1:5" ht="42.75" customHeight="1">
      <c r="A87" s="67" t="s">
        <v>68</v>
      </c>
      <c r="B87" s="68"/>
      <c r="C87" s="68"/>
      <c r="D87" s="68"/>
      <c r="E87" s="68"/>
    </row>
    <row r="88" spans="1:5" ht="12.75">
      <c r="A88" s="36"/>
      <c r="B88" s="37"/>
      <c r="C88" s="37"/>
      <c r="D88" s="37"/>
      <c r="E88" s="37"/>
    </row>
    <row r="89" spans="1:5" ht="15" customHeight="1">
      <c r="A89" s="62" t="s">
        <v>69</v>
      </c>
      <c r="B89" s="63"/>
      <c r="C89" s="63"/>
      <c r="D89" s="63"/>
      <c r="E89" s="63"/>
    </row>
    <row r="90" ht="12.75">
      <c r="A90" s="31"/>
    </row>
    <row r="91" spans="1:5" ht="45.75" customHeight="1">
      <c r="A91" s="58" t="s">
        <v>70</v>
      </c>
      <c r="B91" s="59"/>
      <c r="C91" s="59"/>
      <c r="D91" s="59"/>
      <c r="E91" s="59"/>
    </row>
    <row r="92" ht="15" customHeight="1">
      <c r="A92" s="32"/>
    </row>
    <row r="93" ht="15.75">
      <c r="A93" s="33" t="s">
        <v>93</v>
      </c>
    </row>
  </sheetData>
  <sheetProtection/>
  <mergeCells count="6">
    <mergeCell ref="A91:E91"/>
    <mergeCell ref="A1:E1"/>
    <mergeCell ref="A89:E89"/>
    <mergeCell ref="C6:E6"/>
    <mergeCell ref="A87:E87"/>
    <mergeCell ref="A86:B86"/>
  </mergeCells>
  <printOptions/>
  <pageMargins left="0.25" right="0.25" top="0.8" bottom="0.33" header="0.48" footer="0.21"/>
  <pageSetup fitToHeight="1" fitToWidth="1" horizontalDpi="600" verticalDpi="600" orientation="portrait" paperSize="5" scale="82"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61">
      <selection activeCell="B6" sqref="B6"/>
    </sheetView>
  </sheetViews>
  <sheetFormatPr defaultColWidth="8.8515625" defaultRowHeight="12.75"/>
  <cols>
    <col min="1" max="1" width="2.8515625" style="0" customWidth="1"/>
    <col min="2" max="2" width="69.8515625" style="0" customWidth="1"/>
  </cols>
  <sheetData>
    <row r="1" spans="1:5" ht="18">
      <c r="A1" s="60" t="s">
        <v>71</v>
      </c>
      <c r="B1" s="61"/>
      <c r="C1" s="61"/>
      <c r="D1" s="61"/>
      <c r="E1" s="61"/>
    </row>
    <row r="2" ht="15.75">
      <c r="A2" s="2" t="s">
        <v>0</v>
      </c>
    </row>
    <row r="3" ht="15.75">
      <c r="A3" s="2" t="s">
        <v>1</v>
      </c>
    </row>
    <row r="4" ht="15.75">
      <c r="A4" s="44" t="str">
        <f>+'Jan '!A4</f>
        <v>YEAR: 1/1/2010 - 12/31/2010</v>
      </c>
    </row>
    <row r="5" ht="13.5" thickBot="1">
      <c r="A5" s="3"/>
    </row>
    <row r="6" spans="1:5" ht="13.5" thickBot="1">
      <c r="A6" s="4"/>
      <c r="B6" s="5" t="str">
        <f>+'Jan '!B6</f>
        <v>NAME OF ORGANIZATION:  Miami Dade Coalition</v>
      </c>
      <c r="C6" s="71" t="s">
        <v>87</v>
      </c>
      <c r="D6" s="72"/>
      <c r="E6" s="73"/>
    </row>
    <row r="7" spans="1:5" ht="12.75">
      <c r="A7" s="4"/>
      <c r="B7" s="6"/>
      <c r="C7" s="38" t="s">
        <v>2</v>
      </c>
      <c r="D7" s="7" t="s">
        <v>3</v>
      </c>
      <c r="E7" s="8" t="s">
        <v>4</v>
      </c>
    </row>
    <row r="8" spans="1:5" ht="12.75">
      <c r="A8" s="9" t="s">
        <v>5</v>
      </c>
      <c r="B8" s="10" t="s">
        <v>6</v>
      </c>
      <c r="C8" s="39">
        <f>+'Jun '!C85</f>
        <v>617</v>
      </c>
      <c r="D8" s="39">
        <f>+'Jun '!D85</f>
        <v>846</v>
      </c>
      <c r="E8" s="12">
        <f>SUM(C8:D8)</f>
        <v>1463</v>
      </c>
    </row>
    <row r="9" spans="1:5" ht="12.75">
      <c r="A9" s="9"/>
      <c r="B9" s="10"/>
      <c r="C9" s="40"/>
      <c r="D9" s="14"/>
      <c r="E9" s="15"/>
    </row>
    <row r="10" spans="1:5" ht="12.75">
      <c r="A10" s="9"/>
      <c r="B10" s="10" t="s">
        <v>7</v>
      </c>
      <c r="C10" s="40"/>
      <c r="D10" s="14"/>
      <c r="E10" s="15"/>
    </row>
    <row r="11" spans="1:5" ht="12.75">
      <c r="A11" s="9"/>
      <c r="B11" s="16" t="s">
        <v>8</v>
      </c>
      <c r="C11" s="40"/>
      <c r="D11" s="14"/>
      <c r="E11" s="15"/>
    </row>
    <row r="12" spans="1:5" ht="12.75">
      <c r="A12" s="9"/>
      <c r="B12" s="17" t="s">
        <v>9</v>
      </c>
      <c r="C12" s="40">
        <f>SUM('Q3'!C12,'Q4'!C12)</f>
        <v>5281</v>
      </c>
      <c r="D12" s="14">
        <f>SUM('Q3'!D12,'Q4'!D12)</f>
        <v>3247</v>
      </c>
      <c r="E12" s="15">
        <f>SUM(C12:D12)</f>
        <v>8528</v>
      </c>
    </row>
    <row r="13" spans="1:5" ht="12.75">
      <c r="A13" s="9"/>
      <c r="B13" s="17" t="s">
        <v>10</v>
      </c>
      <c r="C13" s="40">
        <f>SUM('Q3'!C13,'Q4'!C13)</f>
        <v>766</v>
      </c>
      <c r="D13" s="14">
        <f>SUM('Q3'!D13,'Q4'!D13)</f>
        <v>1375</v>
      </c>
      <c r="E13" s="15">
        <f>SUM(C13:D13)</f>
        <v>2141</v>
      </c>
    </row>
    <row r="14" spans="1:5" ht="12.75">
      <c r="A14" s="9"/>
      <c r="B14" s="17" t="s">
        <v>11</v>
      </c>
      <c r="C14" s="40">
        <f>SUM('Q3'!C14,'Q4'!C14)</f>
        <v>1322</v>
      </c>
      <c r="D14" s="14">
        <f>SUM('Q3'!D14,'Q4'!D14)</f>
        <v>1366</v>
      </c>
      <c r="E14" s="15">
        <f>SUM(C14:D14)</f>
        <v>2688</v>
      </c>
    </row>
    <row r="15" spans="1:5" ht="12.75">
      <c r="A15" s="9"/>
      <c r="B15" s="17" t="s">
        <v>12</v>
      </c>
      <c r="C15" s="40">
        <f>SUM('Q3'!C15,'Q4'!C15)</f>
        <v>3343</v>
      </c>
      <c r="D15" s="14">
        <f>SUM('Q3'!D15,'Q4'!D15)</f>
        <v>1377</v>
      </c>
      <c r="E15" s="15">
        <f>SUM(C15:D15)</f>
        <v>4720</v>
      </c>
    </row>
    <row r="16" spans="1:5" ht="12.75">
      <c r="A16" s="9" t="s">
        <v>13</v>
      </c>
      <c r="B16" s="18" t="s">
        <v>14</v>
      </c>
      <c r="C16" s="39">
        <f>SUM(C12:C15)</f>
        <v>10712</v>
      </c>
      <c r="D16" s="11">
        <f>SUM(D12:D15)</f>
        <v>7365</v>
      </c>
      <c r="E16" s="19">
        <f>SUM(C16:D16)</f>
        <v>18077</v>
      </c>
    </row>
    <row r="17" spans="1:5" ht="12.75">
      <c r="A17" s="9"/>
      <c r="B17" s="16" t="s">
        <v>15</v>
      </c>
      <c r="C17" s="40"/>
      <c r="D17" s="14"/>
      <c r="E17" s="15"/>
    </row>
    <row r="18" spans="1:5" ht="12.75">
      <c r="A18" s="9"/>
      <c r="B18" s="17" t="s">
        <v>9</v>
      </c>
      <c r="C18" s="40">
        <f>SUM('Q3'!C18,'Q4'!C18)</f>
        <v>139</v>
      </c>
      <c r="D18" s="14">
        <f>SUM('Q3'!D18,'Q4'!D18)</f>
        <v>175</v>
      </c>
      <c r="E18" s="15">
        <f>SUM(C18:D18)</f>
        <v>314</v>
      </c>
    </row>
    <row r="19" spans="1:5" ht="12.75">
      <c r="A19" s="9"/>
      <c r="B19" s="17" t="s">
        <v>10</v>
      </c>
      <c r="C19" s="40">
        <f>SUM('Q3'!C19,'Q4'!C19)</f>
        <v>0</v>
      </c>
      <c r="D19" s="14">
        <f>SUM('Q3'!D19,'Q4'!D19)</f>
        <v>0</v>
      </c>
      <c r="E19" s="15">
        <f>SUM(C19:D19)</f>
        <v>0</v>
      </c>
    </row>
    <row r="20" spans="1:5" ht="12.75">
      <c r="A20" s="9"/>
      <c r="B20" s="17" t="s">
        <v>11</v>
      </c>
      <c r="C20" s="40">
        <f>SUM('Q3'!C20,'Q4'!C20)</f>
        <v>2</v>
      </c>
      <c r="D20" s="14">
        <f>SUM('Q3'!D20,'Q4'!D20)</f>
        <v>0</v>
      </c>
      <c r="E20" s="15">
        <f>SUM(C20:D20)</f>
        <v>2</v>
      </c>
    </row>
    <row r="21" spans="1:5" ht="12.75">
      <c r="A21" s="9"/>
      <c r="B21" s="17" t="s">
        <v>12</v>
      </c>
      <c r="C21" s="40">
        <f>SUM('Q3'!C21,'Q4'!C21)</f>
        <v>8</v>
      </c>
      <c r="D21" s="14">
        <f>SUM('Q3'!D21,'Q4'!D21)</f>
        <v>0</v>
      </c>
      <c r="E21" s="15">
        <f>SUM(C21:D21)</f>
        <v>8</v>
      </c>
    </row>
    <row r="22" spans="1:5" ht="12.75">
      <c r="A22" s="9" t="s">
        <v>16</v>
      </c>
      <c r="B22" s="18" t="s">
        <v>17</v>
      </c>
      <c r="C22" s="39">
        <f>SUM(C18:C21)</f>
        <v>149</v>
      </c>
      <c r="D22" s="11">
        <f>SUM(D18:D21)</f>
        <v>175</v>
      </c>
      <c r="E22" s="19">
        <f>SUM(C22:D22)</f>
        <v>324</v>
      </c>
    </row>
    <row r="23" spans="1:5" ht="12.75">
      <c r="A23" s="9"/>
      <c r="B23" s="16" t="s">
        <v>18</v>
      </c>
      <c r="C23" s="40"/>
      <c r="D23" s="14"/>
      <c r="E23" s="15"/>
    </row>
    <row r="24" spans="1:5" ht="12.75">
      <c r="A24" s="9"/>
      <c r="B24" s="17" t="s">
        <v>9</v>
      </c>
      <c r="C24" s="40">
        <f>SUM('Q3'!C24,'Q4'!C24)</f>
        <v>2</v>
      </c>
      <c r="D24" s="14">
        <f>SUM('Q3'!D24,'Q4'!D24)</f>
        <v>56</v>
      </c>
      <c r="E24" s="15">
        <f>SUM(C24:D24)</f>
        <v>58</v>
      </c>
    </row>
    <row r="25" spans="1:5" ht="12.75">
      <c r="A25" s="9"/>
      <c r="B25" s="17" t="s">
        <v>10</v>
      </c>
      <c r="C25" s="40">
        <f>SUM('Q3'!C25,'Q4'!C25)</f>
        <v>0</v>
      </c>
      <c r="D25" s="14">
        <f>SUM('Q3'!D25,'Q4'!D25)</f>
        <v>0</v>
      </c>
      <c r="E25" s="15">
        <f>SUM(C25:D25)</f>
        <v>0</v>
      </c>
    </row>
    <row r="26" spans="1:5" ht="12.75">
      <c r="A26" s="9"/>
      <c r="B26" s="17" t="s">
        <v>11</v>
      </c>
      <c r="C26" s="40">
        <f>SUM('Q3'!C26,'Q4'!C26)</f>
        <v>0</v>
      </c>
      <c r="D26" s="14">
        <f>SUM('Q3'!D26,'Q4'!D26)</f>
        <v>0</v>
      </c>
      <c r="E26" s="15">
        <f>SUM(C26:D26)</f>
        <v>0</v>
      </c>
    </row>
    <row r="27" spans="1:5" ht="12.75">
      <c r="A27" s="9"/>
      <c r="B27" s="17" t="s">
        <v>12</v>
      </c>
      <c r="C27" s="40">
        <f>SUM('Q3'!C27,'Q4'!C27)</f>
        <v>0</v>
      </c>
      <c r="D27" s="14">
        <f>SUM('Q3'!D27,'Q4'!D27)</f>
        <v>0</v>
      </c>
      <c r="E27" s="15">
        <f>SUM(C27:D27)</f>
        <v>0</v>
      </c>
    </row>
    <row r="28" spans="1:5" ht="12.75">
      <c r="A28" s="9" t="s">
        <v>19</v>
      </c>
      <c r="B28" s="18" t="s">
        <v>20</v>
      </c>
      <c r="C28" s="39">
        <f>SUM(C24:C27)</f>
        <v>2</v>
      </c>
      <c r="D28" s="11">
        <f>SUM(D24:D27)</f>
        <v>56</v>
      </c>
      <c r="E28" s="19">
        <f>SUM(C28:D28)</f>
        <v>58</v>
      </c>
    </row>
    <row r="29" spans="1:5" ht="12.75">
      <c r="A29" s="9"/>
      <c r="B29" s="16" t="s">
        <v>21</v>
      </c>
      <c r="C29" s="40"/>
      <c r="D29" s="14"/>
      <c r="E29" s="15"/>
    </row>
    <row r="30" spans="1:5" ht="12.75">
      <c r="A30" s="9"/>
      <c r="B30" s="17" t="s">
        <v>9</v>
      </c>
      <c r="C30" s="40">
        <f>SUM('Q3'!C30,'Q4'!C30)</f>
        <v>1</v>
      </c>
      <c r="D30" s="14">
        <f>SUM('Q3'!D30,'Q4'!D30)</f>
        <v>0</v>
      </c>
      <c r="E30" s="15">
        <f aca="true" t="shared" si="0" ref="E30:E37">SUM(C30:D30)</f>
        <v>1</v>
      </c>
    </row>
    <row r="31" spans="1:5" ht="12.75">
      <c r="A31" s="9"/>
      <c r="B31" s="17" t="s">
        <v>10</v>
      </c>
      <c r="C31" s="40">
        <f>SUM('Q3'!C31,'Q4'!C31)</f>
        <v>0</v>
      </c>
      <c r="D31" s="14">
        <f>SUM('Q3'!D31,'Q4'!D31)</f>
        <v>0</v>
      </c>
      <c r="E31" s="15">
        <f t="shared" si="0"/>
        <v>0</v>
      </c>
    </row>
    <row r="32" spans="1:5" ht="12.75">
      <c r="A32" s="9"/>
      <c r="B32" s="17" t="s">
        <v>11</v>
      </c>
      <c r="C32" s="40">
        <f>SUM('Q3'!C32,'Q4'!C32)</f>
        <v>0</v>
      </c>
      <c r="D32" s="14">
        <f>SUM('Q3'!D32,'Q4'!D32)</f>
        <v>0</v>
      </c>
      <c r="E32" s="15">
        <f t="shared" si="0"/>
        <v>0</v>
      </c>
    </row>
    <row r="33" spans="1:5" ht="12.75">
      <c r="A33" s="9"/>
      <c r="B33" s="17" t="s">
        <v>12</v>
      </c>
      <c r="C33" s="40">
        <f>SUM('Q3'!C33,'Q4'!C33)</f>
        <v>516</v>
      </c>
      <c r="D33" s="14">
        <f>SUM('Q3'!D33,'Q4'!D33)</f>
        <v>86</v>
      </c>
      <c r="E33" s="15">
        <f t="shared" si="0"/>
        <v>602</v>
      </c>
    </row>
    <row r="34" spans="1:5" ht="12.75">
      <c r="A34" s="9" t="s">
        <v>22</v>
      </c>
      <c r="B34" s="18" t="s">
        <v>23</v>
      </c>
      <c r="C34" s="39">
        <f>SUM(C30:C33)</f>
        <v>517</v>
      </c>
      <c r="D34" s="11">
        <f>SUM(D30:D33)</f>
        <v>86</v>
      </c>
      <c r="E34" s="19">
        <f t="shared" si="0"/>
        <v>603</v>
      </c>
    </row>
    <row r="35" spans="1:5" ht="12.75">
      <c r="A35" s="9" t="s">
        <v>24</v>
      </c>
      <c r="B35" s="10" t="s">
        <v>25</v>
      </c>
      <c r="C35" s="41">
        <f>C16+C22+C28+C34</f>
        <v>11380</v>
      </c>
      <c r="D35" s="20">
        <f>D16+D22+D28+D34</f>
        <v>7682</v>
      </c>
      <c r="E35" s="12">
        <f t="shared" si="0"/>
        <v>19062</v>
      </c>
    </row>
    <row r="36" spans="1:5" ht="12.75">
      <c r="A36" s="21" t="s">
        <v>26</v>
      </c>
      <c r="B36" s="22" t="s">
        <v>27</v>
      </c>
      <c r="C36" s="42">
        <f>SUM('Q3'!C36,'Q4'!C36)</f>
        <v>516</v>
      </c>
      <c r="D36" s="24">
        <f>SUM('Q3'!D36,'Q4'!D36)</f>
        <v>86</v>
      </c>
      <c r="E36" s="34">
        <f t="shared" si="0"/>
        <v>602</v>
      </c>
    </row>
    <row r="37" spans="1:5" ht="12.75">
      <c r="A37" s="9" t="s">
        <v>28</v>
      </c>
      <c r="B37" s="10" t="s">
        <v>29</v>
      </c>
      <c r="C37" s="41">
        <f>C35-C36</f>
        <v>10864</v>
      </c>
      <c r="D37" s="20">
        <f>D35-D36</f>
        <v>7596</v>
      </c>
      <c r="E37" s="12">
        <f t="shared" si="0"/>
        <v>18460</v>
      </c>
    </row>
    <row r="38" spans="1:5" ht="12.75">
      <c r="A38" s="9"/>
      <c r="B38" s="25"/>
      <c r="C38" s="40"/>
      <c r="D38" s="14"/>
      <c r="E38" s="15"/>
    </row>
    <row r="39" spans="1:5" ht="12.75">
      <c r="A39" s="9"/>
      <c r="B39" s="10" t="s">
        <v>30</v>
      </c>
      <c r="C39" s="40"/>
      <c r="D39" s="14"/>
      <c r="E39" s="15"/>
    </row>
    <row r="40" spans="1:5" ht="12.75">
      <c r="A40" s="9"/>
      <c r="B40" s="26" t="s">
        <v>31</v>
      </c>
      <c r="C40" s="40"/>
      <c r="D40" s="14"/>
      <c r="E40" s="15"/>
    </row>
    <row r="41" spans="1:5" ht="12.75">
      <c r="A41" s="9"/>
      <c r="B41" s="17" t="s">
        <v>9</v>
      </c>
      <c r="C41" s="40">
        <f>SUM('Q3'!C41,'Q4'!C41)</f>
        <v>2843</v>
      </c>
      <c r="D41" s="14">
        <f>SUM('Q3'!D41,'Q4'!D41)</f>
        <v>1104</v>
      </c>
      <c r="E41" s="15">
        <f>SUM(C41:D41)</f>
        <v>3947</v>
      </c>
    </row>
    <row r="42" spans="1:5" ht="12.75">
      <c r="A42" s="9"/>
      <c r="B42" s="17" t="s">
        <v>10</v>
      </c>
      <c r="C42" s="40">
        <f>SUM('Q3'!C42,'Q4'!C42)</f>
        <v>1076</v>
      </c>
      <c r="D42" s="14">
        <f>SUM('Q3'!D42,'Q4'!D42)</f>
        <v>77</v>
      </c>
      <c r="E42" s="15">
        <f>SUM(C42:D42)</f>
        <v>1153</v>
      </c>
    </row>
    <row r="43" spans="1:5" ht="12.75">
      <c r="A43" s="9"/>
      <c r="B43" s="17" t="s">
        <v>11</v>
      </c>
      <c r="C43" s="40">
        <f>SUM('Q3'!C43,'Q4'!C43)</f>
        <v>109</v>
      </c>
      <c r="D43" s="14">
        <f>SUM('Q3'!D43,'Q4'!D43)</f>
        <v>19</v>
      </c>
      <c r="E43" s="15">
        <f>SUM(C43:D43)</f>
        <v>128</v>
      </c>
    </row>
    <row r="44" spans="1:5" ht="12.75">
      <c r="A44" s="9"/>
      <c r="B44" s="17" t="s">
        <v>12</v>
      </c>
      <c r="C44" s="40">
        <f>SUM('Q3'!C44,'Q4'!C44)</f>
        <v>36</v>
      </c>
      <c r="D44" s="14">
        <f>SUM('Q3'!D44,'Q4'!D44)</f>
        <v>0</v>
      </c>
      <c r="E44" s="15">
        <f>SUM(C44:D44)</f>
        <v>36</v>
      </c>
    </row>
    <row r="45" spans="1:5" ht="12.75">
      <c r="A45" s="9"/>
      <c r="B45" s="18" t="s">
        <v>32</v>
      </c>
      <c r="C45" s="39">
        <f>SUM(C41:C44)</f>
        <v>4064</v>
      </c>
      <c r="D45" s="11">
        <f>SUM(D41:D44)</f>
        <v>1200</v>
      </c>
      <c r="E45" s="19">
        <f>SUM(C45:D45)</f>
        <v>5264</v>
      </c>
    </row>
    <row r="46" spans="1:5" ht="12.75">
      <c r="A46" s="9"/>
      <c r="B46" s="26" t="s">
        <v>33</v>
      </c>
      <c r="C46" s="40"/>
      <c r="D46" s="14"/>
      <c r="E46" s="15"/>
    </row>
    <row r="47" spans="1:5" ht="12.75">
      <c r="A47" s="9"/>
      <c r="B47" s="17" t="s">
        <v>9</v>
      </c>
      <c r="C47" s="40">
        <f>SUM('Q3'!C47,'Q4'!C47)</f>
        <v>167</v>
      </c>
      <c r="D47" s="14">
        <f>SUM('Q3'!D47,'Q4'!D47)</f>
        <v>250</v>
      </c>
      <c r="E47" s="15">
        <f aca="true" t="shared" si="1" ref="E47:E52">SUM(C47:D47)</f>
        <v>417</v>
      </c>
    </row>
    <row r="48" spans="1:5" ht="12.75">
      <c r="A48" s="9"/>
      <c r="B48" s="17" t="s">
        <v>10</v>
      </c>
      <c r="C48" s="40">
        <f>SUM('Q3'!C48,'Q4'!C48)</f>
        <v>69</v>
      </c>
      <c r="D48" s="14">
        <f>SUM('Q3'!D48,'Q4'!D48)</f>
        <v>0</v>
      </c>
      <c r="E48" s="15">
        <f t="shared" si="1"/>
        <v>69</v>
      </c>
    </row>
    <row r="49" spans="1:5" ht="12.75">
      <c r="A49" s="9"/>
      <c r="B49" s="17" t="s">
        <v>11</v>
      </c>
      <c r="C49" s="40">
        <f>SUM('Q3'!C49,'Q4'!C49)</f>
        <v>3</v>
      </c>
      <c r="D49" s="14">
        <f>SUM('Q3'!D49,'Q4'!D49)</f>
        <v>0</v>
      </c>
      <c r="E49" s="15">
        <f t="shared" si="1"/>
        <v>3</v>
      </c>
    </row>
    <row r="50" spans="1:5" ht="12.75">
      <c r="A50" s="9"/>
      <c r="B50" s="17" t="s">
        <v>12</v>
      </c>
      <c r="C50" s="40">
        <f>SUM('Q3'!C50,'Q4'!C50)</f>
        <v>2</v>
      </c>
      <c r="D50" s="14">
        <f>SUM('Q3'!D50,'Q4'!D50)</f>
        <v>0</v>
      </c>
      <c r="E50" s="15">
        <f t="shared" si="1"/>
        <v>2</v>
      </c>
    </row>
    <row r="51" spans="1:5" ht="24">
      <c r="A51" s="9"/>
      <c r="B51" s="18" t="s">
        <v>34</v>
      </c>
      <c r="C51" s="39">
        <f>SUM(C47:C50)</f>
        <v>241</v>
      </c>
      <c r="D51" s="11">
        <f>SUM(D47:D50)</f>
        <v>250</v>
      </c>
      <c r="E51" s="19">
        <f t="shared" si="1"/>
        <v>491</v>
      </c>
    </row>
    <row r="52" spans="1:5" ht="12.75">
      <c r="A52" s="9" t="s">
        <v>35</v>
      </c>
      <c r="B52" s="18" t="s">
        <v>36</v>
      </c>
      <c r="C52" s="41">
        <f>C45+C51</f>
        <v>4305</v>
      </c>
      <c r="D52" s="20">
        <f>D45+D51</f>
        <v>1450</v>
      </c>
      <c r="E52" s="12">
        <f t="shared" si="1"/>
        <v>5755</v>
      </c>
    </row>
    <row r="53" spans="1:5" ht="12.75">
      <c r="A53" s="9"/>
      <c r="B53" s="10"/>
      <c r="C53" s="40"/>
      <c r="D53" s="14"/>
      <c r="E53" s="15"/>
    </row>
    <row r="54" spans="1:5" ht="12.75">
      <c r="A54" s="9"/>
      <c r="B54" s="10" t="s">
        <v>37</v>
      </c>
      <c r="C54" s="40"/>
      <c r="D54" s="14"/>
      <c r="E54" s="15"/>
    </row>
    <row r="55" spans="1:5" ht="12.75">
      <c r="A55" s="9"/>
      <c r="B55" s="17" t="s">
        <v>9</v>
      </c>
      <c r="C55" s="40">
        <f>SUM('Q3'!C55,'Q4'!C55)</f>
        <v>139</v>
      </c>
      <c r="D55" s="14">
        <f>SUM('Q3'!D55,'Q4'!D55)</f>
        <v>175</v>
      </c>
      <c r="E55" s="15">
        <f>SUM(C55:D55)</f>
        <v>314</v>
      </c>
    </row>
    <row r="56" spans="1:5" ht="12.75">
      <c r="A56" s="9"/>
      <c r="B56" s="17" t="s">
        <v>10</v>
      </c>
      <c r="C56" s="40">
        <f>SUM('Q3'!C56,'Q4'!C56)</f>
        <v>0</v>
      </c>
      <c r="D56" s="14">
        <f>SUM('Q3'!D56,'Q4'!D56)</f>
        <v>0</v>
      </c>
      <c r="E56" s="15">
        <f>SUM(C56:D56)</f>
        <v>0</v>
      </c>
    </row>
    <row r="57" spans="1:5" ht="12.75">
      <c r="A57" s="9"/>
      <c r="B57" s="17" t="s">
        <v>11</v>
      </c>
      <c r="C57" s="40">
        <f>SUM('Q3'!C57,'Q4'!C57)</f>
        <v>2</v>
      </c>
      <c r="D57" s="14">
        <f>SUM('Q3'!D57,'Q4'!D57)</f>
        <v>0</v>
      </c>
      <c r="E57" s="15">
        <f>SUM(C57:D57)</f>
        <v>2</v>
      </c>
    </row>
    <row r="58" spans="1:5" ht="12.75">
      <c r="A58" s="9"/>
      <c r="B58" s="17" t="s">
        <v>12</v>
      </c>
      <c r="C58" s="40">
        <f>SUM('Q3'!C58,'Q4'!C58)</f>
        <v>8</v>
      </c>
      <c r="D58" s="14">
        <f>SUM('Q3'!D58,'Q4'!D58)</f>
        <v>0</v>
      </c>
      <c r="E58" s="15">
        <f>SUM(C58:D58)</f>
        <v>8</v>
      </c>
    </row>
    <row r="59" spans="1:5" ht="12.75">
      <c r="A59" s="9" t="s">
        <v>38</v>
      </c>
      <c r="B59" s="10" t="s">
        <v>39</v>
      </c>
      <c r="C59" s="41">
        <f>SUM(C55:C58)</f>
        <v>149</v>
      </c>
      <c r="D59" s="20">
        <f>SUM(D55:D58)</f>
        <v>175</v>
      </c>
      <c r="E59" s="12">
        <f>SUM(C59:D59)</f>
        <v>324</v>
      </c>
    </row>
    <row r="60" spans="1:5" ht="12.75">
      <c r="A60" s="9"/>
      <c r="B60" s="10"/>
      <c r="C60" s="40"/>
      <c r="D60" s="14"/>
      <c r="E60" s="15"/>
    </row>
    <row r="61" spans="1:5" ht="12.75">
      <c r="A61" s="9"/>
      <c r="B61" s="10" t="s">
        <v>40</v>
      </c>
      <c r="C61" s="40"/>
      <c r="D61" s="14"/>
      <c r="E61" s="15"/>
    </row>
    <row r="62" spans="1:5" ht="12.75">
      <c r="A62" s="9"/>
      <c r="B62" s="17" t="s">
        <v>9</v>
      </c>
      <c r="C62" s="40">
        <f>SUM('Q3'!C62,'Q4'!C62)</f>
        <v>1533</v>
      </c>
      <c r="D62" s="14">
        <f>SUM('Q3'!D62,'Q4'!D62)</f>
        <v>407</v>
      </c>
      <c r="E62" s="15">
        <f>SUM(C62:D62)</f>
        <v>1940</v>
      </c>
    </row>
    <row r="63" spans="1:5" ht="12.75">
      <c r="A63" s="9"/>
      <c r="B63" s="17" t="s">
        <v>10</v>
      </c>
      <c r="C63" s="40">
        <f>SUM('Q3'!C63,'Q4'!C63)</f>
        <v>83</v>
      </c>
      <c r="D63" s="14">
        <f>SUM('Q3'!D63,'Q4'!D63)</f>
        <v>11</v>
      </c>
      <c r="E63" s="15">
        <f>SUM(C63:D63)</f>
        <v>94</v>
      </c>
    </row>
    <row r="64" spans="1:5" ht="12.75">
      <c r="A64" s="9"/>
      <c r="B64" s="17" t="s">
        <v>11</v>
      </c>
      <c r="C64" s="40">
        <f>SUM('Q3'!C64,'Q4'!C64)</f>
        <v>18</v>
      </c>
      <c r="D64" s="14">
        <f>SUM('Q3'!D64,'Q4'!D64)</f>
        <v>0</v>
      </c>
      <c r="E64" s="15">
        <f>SUM(C64:D64)</f>
        <v>18</v>
      </c>
    </row>
    <row r="65" spans="1:5" ht="12.75">
      <c r="A65" s="9"/>
      <c r="B65" s="17" t="s">
        <v>12</v>
      </c>
      <c r="C65" s="40">
        <f>SUM('Q3'!C65,'Q4'!C65)</f>
        <v>32</v>
      </c>
      <c r="D65" s="14">
        <f>SUM('Q3'!D65,'Q4'!D65)</f>
        <v>0</v>
      </c>
      <c r="E65" s="15">
        <f>SUM(C65:D65)</f>
        <v>32</v>
      </c>
    </row>
    <row r="66" spans="1:5" ht="12.75">
      <c r="A66" s="9" t="s">
        <v>41</v>
      </c>
      <c r="B66" s="10" t="s">
        <v>42</v>
      </c>
      <c r="C66" s="41">
        <f>SUM(C62:C65)</f>
        <v>1666</v>
      </c>
      <c r="D66" s="20">
        <f>SUM(D62:D65)</f>
        <v>418</v>
      </c>
      <c r="E66" s="12">
        <f>SUM(C66:D66)</f>
        <v>2084</v>
      </c>
    </row>
    <row r="67" spans="1:5" ht="12.75">
      <c r="A67" s="9"/>
      <c r="B67" s="10"/>
      <c r="C67" s="40"/>
      <c r="D67" s="14"/>
      <c r="E67" s="15"/>
    </row>
    <row r="68" spans="1:5" ht="12.75">
      <c r="A68" s="9" t="s">
        <v>43</v>
      </c>
      <c r="B68" s="10" t="s">
        <v>44</v>
      </c>
      <c r="C68" s="40">
        <f>SUM('Q3'!C68,'Q4'!C68)</f>
        <v>782</v>
      </c>
      <c r="D68" s="14">
        <f>SUM('Q3'!D68,'Q4'!D68)</f>
        <v>29</v>
      </c>
      <c r="E68" s="12">
        <f>SUM(C68:D68)</f>
        <v>811</v>
      </c>
    </row>
    <row r="69" spans="1:5" ht="12.75">
      <c r="A69" s="9"/>
      <c r="B69" s="10"/>
      <c r="C69" s="40"/>
      <c r="D69" s="14"/>
      <c r="E69" s="15"/>
    </row>
    <row r="70" spans="1:5" ht="12.75">
      <c r="A70" s="9"/>
      <c r="B70" s="10" t="s">
        <v>45</v>
      </c>
      <c r="C70" s="40"/>
      <c r="D70" s="14"/>
      <c r="E70" s="15"/>
    </row>
    <row r="71" spans="1:5" ht="12.75">
      <c r="A71" s="9" t="s">
        <v>46</v>
      </c>
      <c r="B71" s="25" t="s">
        <v>47</v>
      </c>
      <c r="C71" s="40">
        <f>SUM('Q3'!C71,'Q4'!C71)</f>
        <v>128</v>
      </c>
      <c r="D71" s="14">
        <f>SUM('Q3'!D71,'Q4'!D71)</f>
        <v>169</v>
      </c>
      <c r="E71" s="15">
        <f aca="true" t="shared" si="2" ref="E71:E77">SUM(C71:D71)</f>
        <v>297</v>
      </c>
    </row>
    <row r="72" spans="1:5" ht="12.75">
      <c r="A72" s="9" t="s">
        <v>48</v>
      </c>
      <c r="B72" s="25" t="s">
        <v>49</v>
      </c>
      <c r="C72" s="40">
        <f>SUM('Q3'!C72,'Q4'!C72)</f>
        <v>854</v>
      </c>
      <c r="D72" s="14">
        <f>SUM('Q3'!D72,'Q4'!D72)</f>
        <v>895</v>
      </c>
      <c r="E72" s="15">
        <f t="shared" si="2"/>
        <v>1749</v>
      </c>
    </row>
    <row r="73" spans="1:5" ht="12.75">
      <c r="A73" s="9" t="s">
        <v>50</v>
      </c>
      <c r="B73" s="25" t="s">
        <v>51</v>
      </c>
      <c r="C73" s="40">
        <f>SUM('Q3'!C73,'Q4'!C73)</f>
        <v>643</v>
      </c>
      <c r="D73" s="14">
        <f>SUM('Q3'!D73,'Q4'!D73)</f>
        <v>1121</v>
      </c>
      <c r="E73" s="15">
        <f t="shared" si="2"/>
        <v>1764</v>
      </c>
    </row>
    <row r="74" spans="1:5" ht="12.75">
      <c r="A74" s="9" t="s">
        <v>52</v>
      </c>
      <c r="B74" s="25" t="s">
        <v>53</v>
      </c>
      <c r="C74" s="40">
        <f>SUM('Q3'!C74,'Q4'!C74)</f>
        <v>2673</v>
      </c>
      <c r="D74" s="14">
        <f>SUM('Q3'!D74,'Q4'!D74)</f>
        <v>3436</v>
      </c>
      <c r="E74" s="15">
        <f t="shared" si="2"/>
        <v>6109</v>
      </c>
    </row>
    <row r="75" spans="1:5" ht="12.75">
      <c r="A75" s="9" t="s">
        <v>54</v>
      </c>
      <c r="B75" s="25" t="s">
        <v>55</v>
      </c>
      <c r="C75" s="41">
        <f>SUM(C71:C74)</f>
        <v>4298</v>
      </c>
      <c r="D75" s="20">
        <f>SUM(D71:D74)</f>
        <v>5621</v>
      </c>
      <c r="E75" s="12">
        <f t="shared" si="2"/>
        <v>9919</v>
      </c>
    </row>
    <row r="76" spans="1:5" ht="12.75">
      <c r="A76" s="21" t="s">
        <v>56</v>
      </c>
      <c r="B76" s="22" t="s">
        <v>27</v>
      </c>
      <c r="C76" s="42">
        <f>SUM('Q3'!C76,'Q4'!C76)</f>
        <v>516</v>
      </c>
      <c r="D76" s="24">
        <f>SUM('Q3'!D76,'Q4'!D76)</f>
        <v>86</v>
      </c>
      <c r="E76" s="34">
        <f t="shared" si="2"/>
        <v>602</v>
      </c>
    </row>
    <row r="77" spans="1:5" ht="12.75">
      <c r="A77" s="9" t="s">
        <v>57</v>
      </c>
      <c r="B77" s="10" t="s">
        <v>58</v>
      </c>
      <c r="C77" s="41">
        <f>C75-C76</f>
        <v>3782</v>
      </c>
      <c r="D77" s="20">
        <f>D75-D76</f>
        <v>5535</v>
      </c>
      <c r="E77" s="12">
        <f t="shared" si="2"/>
        <v>9317</v>
      </c>
    </row>
    <row r="78" spans="1:5" ht="12.75">
      <c r="A78" s="9"/>
      <c r="B78" s="10"/>
      <c r="C78" s="40"/>
      <c r="D78" s="14"/>
      <c r="E78" s="15"/>
    </row>
    <row r="79" spans="1:5" ht="24">
      <c r="A79" s="9" t="s">
        <v>59</v>
      </c>
      <c r="B79" s="10" t="s">
        <v>60</v>
      </c>
      <c r="C79" s="41">
        <f>C52+C59+C66+C68+C77</f>
        <v>10684</v>
      </c>
      <c r="D79" s="20">
        <f>D52+D59+D66+D68+D77</f>
        <v>7607</v>
      </c>
      <c r="E79" s="12">
        <f>SUM(C79:D79)</f>
        <v>18291</v>
      </c>
    </row>
    <row r="80" spans="1:5" ht="12.75">
      <c r="A80" s="9"/>
      <c r="B80" s="27"/>
      <c r="C80" s="40"/>
      <c r="D80" s="14"/>
      <c r="E80" s="15"/>
    </row>
    <row r="81" spans="1:5" ht="12.75">
      <c r="A81" s="9" t="s">
        <v>61</v>
      </c>
      <c r="B81" s="10" t="s">
        <v>62</v>
      </c>
      <c r="C81" s="40">
        <f>SUM('Q3'!C81,'Q4'!C81)</f>
        <v>103</v>
      </c>
      <c r="D81" s="14">
        <f>SUM('Q3'!D81,'Q4'!D81)</f>
        <v>50</v>
      </c>
      <c r="E81" s="12">
        <f>SUM(C81:D81)</f>
        <v>153</v>
      </c>
    </row>
    <row r="82" spans="1:5" ht="12.75">
      <c r="A82" s="9"/>
      <c r="B82" s="27"/>
      <c r="C82" s="40"/>
      <c r="D82" s="14"/>
      <c r="E82" s="15"/>
    </row>
    <row r="83" spans="1:5" ht="24">
      <c r="A83" s="9" t="s">
        <v>63</v>
      </c>
      <c r="B83" s="10" t="s">
        <v>64</v>
      </c>
      <c r="C83" s="41">
        <f>C79+C81</f>
        <v>10787</v>
      </c>
      <c r="D83" s="20">
        <f>D79+D81</f>
        <v>7657</v>
      </c>
      <c r="E83" s="12">
        <f>SUM(C83:D83)</f>
        <v>18444</v>
      </c>
    </row>
    <row r="84" spans="1:5" ht="12.75">
      <c r="A84" s="9"/>
      <c r="B84" s="27"/>
      <c r="C84" s="40"/>
      <c r="D84" s="14"/>
      <c r="E84" s="15"/>
    </row>
    <row r="85" spans="1:5" ht="13.5" thickBot="1">
      <c r="A85" s="28" t="s">
        <v>65</v>
      </c>
      <c r="B85" s="29" t="s">
        <v>66</v>
      </c>
      <c r="C85" s="43">
        <f>+C8+C37-C83</f>
        <v>694</v>
      </c>
      <c r="D85" s="43">
        <f>+D8+D37-D83</f>
        <v>785</v>
      </c>
      <c r="E85" s="30">
        <f>SUM(C85:D85)</f>
        <v>1479</v>
      </c>
    </row>
    <row r="86" spans="1:5" ht="30" customHeight="1">
      <c r="A86" s="69" t="s">
        <v>67</v>
      </c>
      <c r="B86" s="70"/>
      <c r="C86" s="35">
        <f>(C8+C35)-(C76+C83)</f>
        <v>694</v>
      </c>
      <c r="D86" s="35">
        <f>(D8+D35)-(D76+D83)</f>
        <v>785</v>
      </c>
      <c r="E86" s="35">
        <f>(E8+E35)-(E76+E83)</f>
        <v>1479</v>
      </c>
    </row>
    <row r="87" spans="1:5" ht="42.75" customHeight="1">
      <c r="A87" s="67" t="s">
        <v>68</v>
      </c>
      <c r="B87" s="68"/>
      <c r="C87" s="68"/>
      <c r="D87" s="68"/>
      <c r="E87" s="68"/>
    </row>
    <row r="88" spans="1:5" ht="12.75">
      <c r="A88" s="36"/>
      <c r="B88" s="37"/>
      <c r="C88" s="37"/>
      <c r="D88" s="37"/>
      <c r="E88" s="37"/>
    </row>
    <row r="89" spans="1:5" ht="15" customHeight="1">
      <c r="A89" s="62" t="s">
        <v>69</v>
      </c>
      <c r="B89" s="63"/>
      <c r="C89" s="63"/>
      <c r="D89" s="63"/>
      <c r="E89" s="63"/>
    </row>
    <row r="90" ht="12.75">
      <c r="A90" s="31"/>
    </row>
    <row r="91" spans="1:5" ht="45.75" customHeight="1">
      <c r="A91" s="58" t="s">
        <v>70</v>
      </c>
      <c r="B91" s="59"/>
      <c r="C91" s="59"/>
      <c r="D91" s="59"/>
      <c r="E91" s="59"/>
    </row>
    <row r="92" ht="15" customHeight="1">
      <c r="A92" s="32"/>
    </row>
    <row r="93" ht="15.75">
      <c r="A93" s="33" t="s">
        <v>93</v>
      </c>
    </row>
  </sheetData>
  <sheetProtection/>
  <mergeCells count="6">
    <mergeCell ref="A91:E91"/>
    <mergeCell ref="A1:E1"/>
    <mergeCell ref="A89:E89"/>
    <mergeCell ref="C6:E6"/>
    <mergeCell ref="A87:E87"/>
    <mergeCell ref="A86:B86"/>
  </mergeCells>
  <printOptions/>
  <pageMargins left="0.25" right="0.25" top="0.8" bottom="0.33" header="0.48" footer="0.21"/>
  <pageSetup fitToHeight="1" fitToWidth="1" horizontalDpi="600" verticalDpi="600" orientation="portrait" paperSize="5" scale="82"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E93"/>
  <sheetViews>
    <sheetView tabSelected="1" zoomScalePageLayoutView="0" workbookViewId="0" topLeftCell="A1">
      <selection activeCell="B6" sqref="B6"/>
    </sheetView>
  </sheetViews>
  <sheetFormatPr defaultColWidth="8.8515625" defaultRowHeight="12.75"/>
  <cols>
    <col min="1" max="1" width="2.8515625" style="0" customWidth="1"/>
    <col min="2" max="2" width="69.8515625" style="0" customWidth="1"/>
  </cols>
  <sheetData>
    <row r="1" spans="1:5" ht="18">
      <c r="A1" s="45" t="s">
        <v>71</v>
      </c>
      <c r="B1" s="1"/>
      <c r="C1" s="1"/>
      <c r="D1" s="1"/>
      <c r="E1" s="1"/>
    </row>
    <row r="2" ht="15.75">
      <c r="A2" s="2" t="s">
        <v>0</v>
      </c>
    </row>
    <row r="3" ht="15.75">
      <c r="A3" s="2" t="s">
        <v>1</v>
      </c>
    </row>
    <row r="4" ht="15.75">
      <c r="A4" s="44" t="str">
        <f>+'Jan '!A4</f>
        <v>YEAR: 1/1/2010 - 12/31/2010</v>
      </c>
    </row>
    <row r="5" ht="13.5" thickBot="1">
      <c r="A5" s="3"/>
    </row>
    <row r="6" spans="1:5" ht="13.5" thickBot="1">
      <c r="A6" s="4"/>
      <c r="B6" s="5" t="str">
        <f>+'Jan '!B6</f>
        <v>NAME OF ORGANIZATION:  Miami Dade Coalition</v>
      </c>
      <c r="C6" s="71" t="s">
        <v>88</v>
      </c>
      <c r="D6" s="72"/>
      <c r="E6" s="73"/>
    </row>
    <row r="7" spans="1:5" ht="12.75">
      <c r="A7" s="4"/>
      <c r="B7" s="6"/>
      <c r="C7" s="38" t="s">
        <v>2</v>
      </c>
      <c r="D7" s="7" t="s">
        <v>3</v>
      </c>
      <c r="E7" s="8" t="s">
        <v>4</v>
      </c>
    </row>
    <row r="8" spans="1:5" ht="12.75">
      <c r="A8" s="9" t="s">
        <v>5</v>
      </c>
      <c r="B8" s="10" t="s">
        <v>6</v>
      </c>
      <c r="C8" s="39">
        <f>+'Jan '!C8</f>
        <v>370</v>
      </c>
      <c r="D8" s="39">
        <f>+'Jan '!D8</f>
        <v>770</v>
      </c>
      <c r="E8" s="12">
        <f>SUM(C8:D8)</f>
        <v>1140</v>
      </c>
    </row>
    <row r="9" spans="1:5" ht="12.75">
      <c r="A9" s="9"/>
      <c r="B9" s="10"/>
      <c r="C9" s="40"/>
      <c r="D9" s="14"/>
      <c r="E9" s="15"/>
    </row>
    <row r="10" spans="1:5" ht="12.75">
      <c r="A10" s="9"/>
      <c r="B10" s="10" t="s">
        <v>7</v>
      </c>
      <c r="C10" s="40"/>
      <c r="D10" s="14"/>
      <c r="E10" s="15"/>
    </row>
    <row r="11" spans="1:5" ht="12.75">
      <c r="A11" s="9"/>
      <c r="B11" s="16" t="s">
        <v>8</v>
      </c>
      <c r="C11" s="40"/>
      <c r="D11" s="14"/>
      <c r="E11" s="15"/>
    </row>
    <row r="12" spans="1:5" ht="12.75">
      <c r="A12" s="9"/>
      <c r="B12" s="17" t="s">
        <v>9</v>
      </c>
      <c r="C12" s="40">
        <f>SUM('Semi 1'!C12,'Semi 2'!C12)</f>
        <v>10436</v>
      </c>
      <c r="D12" s="13">
        <f>SUM('Semi 1'!D12,'Semi 2'!D12)</f>
        <v>6571</v>
      </c>
      <c r="E12" s="15">
        <f>SUM(C12:D12)</f>
        <v>17007</v>
      </c>
    </row>
    <row r="13" spans="1:5" ht="12.75">
      <c r="A13" s="9"/>
      <c r="B13" s="17" t="s">
        <v>10</v>
      </c>
      <c r="C13" s="40">
        <f>SUM('Semi 1'!C13,'Semi 2'!C13)</f>
        <v>1529</v>
      </c>
      <c r="D13" s="13">
        <f>SUM('Semi 1'!D13,'Semi 2'!D13)</f>
        <v>2839</v>
      </c>
      <c r="E13" s="15">
        <f>SUM(C13:D13)</f>
        <v>4368</v>
      </c>
    </row>
    <row r="14" spans="1:5" ht="12.75">
      <c r="A14" s="9"/>
      <c r="B14" s="17" t="s">
        <v>11</v>
      </c>
      <c r="C14" s="40">
        <f>SUM('Semi 1'!C14,'Semi 2'!C14)</f>
        <v>2598</v>
      </c>
      <c r="D14" s="13">
        <f>SUM('Semi 1'!D14,'Semi 2'!D14)</f>
        <v>2827</v>
      </c>
      <c r="E14" s="15">
        <f>SUM(C14:D14)</f>
        <v>5425</v>
      </c>
    </row>
    <row r="15" spans="1:5" ht="12.75">
      <c r="A15" s="9"/>
      <c r="B15" s="17" t="s">
        <v>12</v>
      </c>
      <c r="C15" s="40">
        <f>SUM('Semi 1'!C15,'Semi 2'!C15)</f>
        <v>6571</v>
      </c>
      <c r="D15" s="13">
        <f>SUM('Semi 1'!D15,'Semi 2'!D15)</f>
        <v>2841</v>
      </c>
      <c r="E15" s="15">
        <f>SUM(C15:D15)</f>
        <v>9412</v>
      </c>
    </row>
    <row r="16" spans="1:5" ht="12.75">
      <c r="A16" s="9" t="s">
        <v>13</v>
      </c>
      <c r="B16" s="18" t="s">
        <v>14</v>
      </c>
      <c r="C16" s="39">
        <f>SUM(C12:C15)</f>
        <v>21134</v>
      </c>
      <c r="D16" s="11">
        <f>SUM(D12:D15)</f>
        <v>15078</v>
      </c>
      <c r="E16" s="19">
        <f>SUM(C16:D16)</f>
        <v>36212</v>
      </c>
    </row>
    <row r="17" spans="1:5" ht="12.75">
      <c r="A17" s="9"/>
      <c r="B17" s="16" t="s">
        <v>15</v>
      </c>
      <c r="C17" s="40"/>
      <c r="D17" s="14"/>
      <c r="E17" s="15"/>
    </row>
    <row r="18" spans="1:5" ht="12.75">
      <c r="A18" s="9"/>
      <c r="B18" s="17" t="s">
        <v>9</v>
      </c>
      <c r="C18" s="40">
        <f>SUM('Semi 1'!C18,'Semi 2'!C18)</f>
        <v>239</v>
      </c>
      <c r="D18" s="13">
        <f>SUM('Semi 1'!D18,'Semi 2'!D18)</f>
        <v>247</v>
      </c>
      <c r="E18" s="15">
        <f>SUM(C18:D18)</f>
        <v>486</v>
      </c>
    </row>
    <row r="19" spans="1:5" ht="12.75">
      <c r="A19" s="9"/>
      <c r="B19" s="17" t="s">
        <v>10</v>
      </c>
      <c r="C19" s="40">
        <f>SUM('Semi 1'!C19,'Semi 2'!C19)</f>
        <v>10</v>
      </c>
      <c r="D19" s="13">
        <f>SUM('Semi 1'!D19,'Semi 2'!D19)</f>
        <v>0</v>
      </c>
      <c r="E19" s="15">
        <f>SUM(C19:D19)</f>
        <v>10</v>
      </c>
    </row>
    <row r="20" spans="1:5" ht="12.75">
      <c r="A20" s="9"/>
      <c r="B20" s="17" t="s">
        <v>11</v>
      </c>
      <c r="C20" s="40">
        <f>SUM('Semi 1'!C20,'Semi 2'!C20)</f>
        <v>2</v>
      </c>
      <c r="D20" s="13">
        <f>SUM('Semi 1'!D20,'Semi 2'!D20)</f>
        <v>0</v>
      </c>
      <c r="E20" s="15">
        <f>SUM(C20:D20)</f>
        <v>2</v>
      </c>
    </row>
    <row r="21" spans="1:5" ht="12.75">
      <c r="A21" s="9"/>
      <c r="B21" s="17" t="s">
        <v>12</v>
      </c>
      <c r="C21" s="40">
        <f>SUM('Semi 1'!C21,'Semi 2'!C21)</f>
        <v>12</v>
      </c>
      <c r="D21" s="13">
        <f>SUM('Semi 1'!D21,'Semi 2'!D21)</f>
        <v>0</v>
      </c>
      <c r="E21" s="15">
        <f>SUM(C21:D21)</f>
        <v>12</v>
      </c>
    </row>
    <row r="22" spans="1:5" ht="12.75">
      <c r="A22" s="9" t="s">
        <v>16</v>
      </c>
      <c r="B22" s="18" t="s">
        <v>17</v>
      </c>
      <c r="C22" s="39">
        <f>SUM(C18:C21)</f>
        <v>263</v>
      </c>
      <c r="D22" s="11">
        <f>SUM(D18:D21)</f>
        <v>247</v>
      </c>
      <c r="E22" s="19">
        <f>SUM(C22:D22)</f>
        <v>510</v>
      </c>
    </row>
    <row r="23" spans="1:5" ht="12.75">
      <c r="A23" s="9"/>
      <c r="B23" s="16" t="s">
        <v>18</v>
      </c>
      <c r="C23" s="40"/>
      <c r="D23" s="14"/>
      <c r="E23" s="15"/>
    </row>
    <row r="24" spans="1:5" ht="12.75">
      <c r="A24" s="9"/>
      <c r="B24" s="17" t="s">
        <v>9</v>
      </c>
      <c r="C24" s="40">
        <f>SUM('Semi 1'!C24,'Semi 2'!C24)</f>
        <v>22</v>
      </c>
      <c r="D24" s="13">
        <f>SUM('Semi 1'!D24,'Semi 2'!D24)</f>
        <v>159</v>
      </c>
      <c r="E24" s="15">
        <f>SUM(C24:D24)</f>
        <v>181</v>
      </c>
    </row>
    <row r="25" spans="1:5" ht="12.75">
      <c r="A25" s="9"/>
      <c r="B25" s="17" t="s">
        <v>10</v>
      </c>
      <c r="C25" s="40">
        <f>SUM('Semi 1'!C25,'Semi 2'!C25)</f>
        <v>0</v>
      </c>
      <c r="D25" s="13">
        <f>SUM('Semi 1'!D25,'Semi 2'!D25)</f>
        <v>0</v>
      </c>
      <c r="E25" s="15">
        <f>SUM(C25:D25)</f>
        <v>0</v>
      </c>
    </row>
    <row r="26" spans="1:5" ht="12.75">
      <c r="A26" s="9"/>
      <c r="B26" s="17" t="s">
        <v>11</v>
      </c>
      <c r="C26" s="40">
        <f>SUM('Semi 1'!C26,'Semi 2'!C26)</f>
        <v>0</v>
      </c>
      <c r="D26" s="13">
        <f>SUM('Semi 1'!D26,'Semi 2'!D26)</f>
        <v>0</v>
      </c>
      <c r="E26" s="15">
        <f>SUM(C26:D26)</f>
        <v>0</v>
      </c>
    </row>
    <row r="27" spans="1:5" ht="12.75">
      <c r="A27" s="9"/>
      <c r="B27" s="17" t="s">
        <v>12</v>
      </c>
      <c r="C27" s="40">
        <f>SUM('Semi 1'!C27,'Semi 2'!C27)</f>
        <v>0</v>
      </c>
      <c r="D27" s="13">
        <f>SUM('Semi 1'!D27,'Semi 2'!D27)</f>
        <v>0</v>
      </c>
      <c r="E27" s="15">
        <f>SUM(C27:D27)</f>
        <v>0</v>
      </c>
    </row>
    <row r="28" spans="1:5" ht="12.75">
      <c r="A28" s="9" t="s">
        <v>19</v>
      </c>
      <c r="B28" s="18" t="s">
        <v>20</v>
      </c>
      <c r="C28" s="39">
        <f>SUM(C24:C27)</f>
        <v>22</v>
      </c>
      <c r="D28" s="11">
        <f>SUM(D24:D27)</f>
        <v>159</v>
      </c>
      <c r="E28" s="19">
        <f>SUM(C28:D28)</f>
        <v>181</v>
      </c>
    </row>
    <row r="29" spans="1:5" ht="12.75">
      <c r="A29" s="9"/>
      <c r="B29" s="16" t="s">
        <v>21</v>
      </c>
      <c r="C29" s="40"/>
      <c r="D29" s="14"/>
      <c r="E29" s="15"/>
    </row>
    <row r="30" spans="1:5" ht="12.75">
      <c r="A30" s="9"/>
      <c r="B30" s="17" t="s">
        <v>9</v>
      </c>
      <c r="C30" s="40">
        <f>SUM('Semi 1'!C30,'Semi 2'!C30)</f>
        <v>5</v>
      </c>
      <c r="D30" s="13">
        <f>SUM('Semi 1'!D30,'Semi 2'!D30)</f>
        <v>0</v>
      </c>
      <c r="E30" s="15">
        <f aca="true" t="shared" si="0" ref="E30:E37">SUM(C30:D30)</f>
        <v>5</v>
      </c>
    </row>
    <row r="31" spans="1:5" ht="12.75">
      <c r="A31" s="9"/>
      <c r="B31" s="17" t="s">
        <v>10</v>
      </c>
      <c r="C31" s="40">
        <f>SUM('Semi 1'!C31,'Semi 2'!C31)</f>
        <v>0</v>
      </c>
      <c r="D31" s="13">
        <f>SUM('Semi 1'!D31,'Semi 2'!D31)</f>
        <v>0</v>
      </c>
      <c r="E31" s="15">
        <f t="shared" si="0"/>
        <v>0</v>
      </c>
    </row>
    <row r="32" spans="1:5" ht="12.75">
      <c r="A32" s="9"/>
      <c r="B32" s="17" t="s">
        <v>11</v>
      </c>
      <c r="C32" s="40">
        <f>SUM('Semi 1'!C32,'Semi 2'!C32)</f>
        <v>0</v>
      </c>
      <c r="D32" s="13">
        <f>SUM('Semi 1'!D32,'Semi 2'!D32)</f>
        <v>0</v>
      </c>
      <c r="E32" s="15">
        <f t="shared" si="0"/>
        <v>0</v>
      </c>
    </row>
    <row r="33" spans="1:5" ht="12.75">
      <c r="A33" s="9"/>
      <c r="B33" s="17" t="s">
        <v>12</v>
      </c>
      <c r="C33" s="40">
        <f>SUM('Semi 1'!C33,'Semi 2'!C33)</f>
        <v>1021</v>
      </c>
      <c r="D33" s="13">
        <f>SUM('Semi 1'!D33,'Semi 2'!D33)</f>
        <v>170</v>
      </c>
      <c r="E33" s="15">
        <f t="shared" si="0"/>
        <v>1191</v>
      </c>
    </row>
    <row r="34" spans="1:5" ht="12.75">
      <c r="A34" s="9" t="s">
        <v>22</v>
      </c>
      <c r="B34" s="18" t="s">
        <v>23</v>
      </c>
      <c r="C34" s="39">
        <f>SUM(C30:C33)</f>
        <v>1026</v>
      </c>
      <c r="D34" s="11">
        <f>SUM(D30:D33)</f>
        <v>170</v>
      </c>
      <c r="E34" s="19">
        <f t="shared" si="0"/>
        <v>1196</v>
      </c>
    </row>
    <row r="35" spans="1:5" ht="12.75">
      <c r="A35" s="9" t="s">
        <v>24</v>
      </c>
      <c r="B35" s="10" t="s">
        <v>25</v>
      </c>
      <c r="C35" s="41">
        <f>C16+C22+C28+C34</f>
        <v>22445</v>
      </c>
      <c r="D35" s="20">
        <f>D16+D22+D28+D34</f>
        <v>15654</v>
      </c>
      <c r="E35" s="12">
        <f t="shared" si="0"/>
        <v>38099</v>
      </c>
    </row>
    <row r="36" spans="1:5" ht="12.75">
      <c r="A36" s="21" t="s">
        <v>26</v>
      </c>
      <c r="B36" s="22" t="s">
        <v>27</v>
      </c>
      <c r="C36" s="42">
        <f>SUM('Semi 1'!C36,'Semi 2'!C36)</f>
        <v>1021</v>
      </c>
      <c r="D36" s="23">
        <f>SUM('Semi 1'!D36,'Semi 2'!D36)</f>
        <v>170</v>
      </c>
      <c r="E36" s="34">
        <f t="shared" si="0"/>
        <v>1191</v>
      </c>
    </row>
    <row r="37" spans="1:5" ht="12.75">
      <c r="A37" s="9" t="s">
        <v>28</v>
      </c>
      <c r="B37" s="10" t="s">
        <v>29</v>
      </c>
      <c r="C37" s="41">
        <f>C35-C36</f>
        <v>21424</v>
      </c>
      <c r="D37" s="20">
        <f>D35-D36</f>
        <v>15484</v>
      </c>
      <c r="E37" s="12">
        <f t="shared" si="0"/>
        <v>36908</v>
      </c>
    </row>
    <row r="38" spans="1:5" ht="12.75">
      <c r="A38" s="9"/>
      <c r="B38" s="25"/>
      <c r="C38" s="40"/>
      <c r="D38" s="14"/>
      <c r="E38" s="15"/>
    </row>
    <row r="39" spans="1:5" ht="12.75">
      <c r="A39" s="9"/>
      <c r="B39" s="10" t="s">
        <v>30</v>
      </c>
      <c r="C39" s="40"/>
      <c r="D39" s="14"/>
      <c r="E39" s="15"/>
    </row>
    <row r="40" spans="1:5" ht="12.75">
      <c r="A40" s="9"/>
      <c r="B40" s="26" t="s">
        <v>31</v>
      </c>
      <c r="C40" s="40"/>
      <c r="D40" s="14"/>
      <c r="E40" s="15"/>
    </row>
    <row r="41" spans="1:5" ht="12.75">
      <c r="A41" s="9"/>
      <c r="B41" s="17" t="s">
        <v>9</v>
      </c>
      <c r="C41" s="40">
        <f>SUM('Semi 1'!C41,'Semi 2'!C41)</f>
        <v>5422</v>
      </c>
      <c r="D41" s="13">
        <f>SUM('Semi 1'!D41,'Semi 2'!D41)</f>
        <v>2021</v>
      </c>
      <c r="E41" s="15">
        <f>SUM(C41:D41)</f>
        <v>7443</v>
      </c>
    </row>
    <row r="42" spans="1:5" ht="12.75">
      <c r="A42" s="9"/>
      <c r="B42" s="17" t="s">
        <v>10</v>
      </c>
      <c r="C42" s="40">
        <f>SUM('Semi 1'!C42,'Semi 2'!C42)</f>
        <v>2048</v>
      </c>
      <c r="D42" s="13">
        <f>SUM('Semi 1'!D42,'Semi 2'!D42)</f>
        <v>149</v>
      </c>
      <c r="E42" s="15">
        <f>SUM(C42:D42)</f>
        <v>2197</v>
      </c>
    </row>
    <row r="43" spans="1:5" ht="12.75">
      <c r="A43" s="9"/>
      <c r="B43" s="17" t="s">
        <v>11</v>
      </c>
      <c r="C43" s="40">
        <f>SUM('Semi 1'!C43,'Semi 2'!C43)</f>
        <v>205</v>
      </c>
      <c r="D43" s="13">
        <f>SUM('Semi 1'!D43,'Semi 2'!D43)</f>
        <v>37</v>
      </c>
      <c r="E43" s="15">
        <f>SUM(C43:D43)</f>
        <v>242</v>
      </c>
    </row>
    <row r="44" spans="1:5" ht="12.75">
      <c r="A44" s="9"/>
      <c r="B44" s="17" t="s">
        <v>12</v>
      </c>
      <c r="C44" s="40">
        <f>SUM('Semi 1'!C44,'Semi 2'!C44)</f>
        <v>71</v>
      </c>
      <c r="D44" s="13">
        <f>SUM('Semi 1'!D44,'Semi 2'!D44)</f>
        <v>0</v>
      </c>
      <c r="E44" s="15">
        <f>SUM(C44:D44)</f>
        <v>71</v>
      </c>
    </row>
    <row r="45" spans="1:5" ht="12.75">
      <c r="A45" s="9"/>
      <c r="B45" s="18" t="s">
        <v>32</v>
      </c>
      <c r="C45" s="39">
        <f>SUM(C41:C44)</f>
        <v>7746</v>
      </c>
      <c r="D45" s="11">
        <f>SUM(D41:D44)</f>
        <v>2207</v>
      </c>
      <c r="E45" s="19">
        <f>SUM(C45:D45)</f>
        <v>9953</v>
      </c>
    </row>
    <row r="46" spans="1:5" ht="12.75">
      <c r="A46" s="9"/>
      <c r="B46" s="26" t="s">
        <v>33</v>
      </c>
      <c r="C46" s="40"/>
      <c r="D46" s="14"/>
      <c r="E46" s="15"/>
    </row>
    <row r="47" spans="1:5" ht="12.75">
      <c r="A47" s="9"/>
      <c r="B47" s="17" t="s">
        <v>9</v>
      </c>
      <c r="C47" s="40">
        <f>SUM('Semi 1'!C47,'Semi 2'!C47)</f>
        <v>331</v>
      </c>
      <c r="D47" s="13">
        <f>SUM('Semi 1'!D47,'Semi 2'!D47)</f>
        <v>460</v>
      </c>
      <c r="E47" s="15">
        <f aca="true" t="shared" si="1" ref="E47:E52">SUM(C47:D47)</f>
        <v>791</v>
      </c>
    </row>
    <row r="48" spans="1:5" ht="12.75">
      <c r="A48" s="9"/>
      <c r="B48" s="17" t="s">
        <v>10</v>
      </c>
      <c r="C48" s="40">
        <f>SUM('Semi 1'!C48,'Semi 2'!C48)</f>
        <v>138</v>
      </c>
      <c r="D48" s="13">
        <f>SUM('Semi 1'!D48,'Semi 2'!D48)</f>
        <v>0</v>
      </c>
      <c r="E48" s="15">
        <f t="shared" si="1"/>
        <v>138</v>
      </c>
    </row>
    <row r="49" spans="1:5" ht="12.75">
      <c r="A49" s="9"/>
      <c r="B49" s="17" t="s">
        <v>11</v>
      </c>
      <c r="C49" s="40">
        <f>SUM('Semi 1'!C49,'Semi 2'!C49)</f>
        <v>12</v>
      </c>
      <c r="D49" s="13">
        <f>SUM('Semi 1'!D49,'Semi 2'!D49)</f>
        <v>0</v>
      </c>
      <c r="E49" s="15">
        <f t="shared" si="1"/>
        <v>12</v>
      </c>
    </row>
    <row r="50" spans="1:5" ht="12.75">
      <c r="A50" s="9"/>
      <c r="B50" s="17" t="s">
        <v>12</v>
      </c>
      <c r="C50" s="40">
        <f>SUM('Semi 1'!C50,'Semi 2'!C50)</f>
        <v>2</v>
      </c>
      <c r="D50" s="13">
        <f>SUM('Semi 1'!D50,'Semi 2'!D50)</f>
        <v>0</v>
      </c>
      <c r="E50" s="15">
        <f t="shared" si="1"/>
        <v>2</v>
      </c>
    </row>
    <row r="51" spans="1:5" ht="24">
      <c r="A51" s="9"/>
      <c r="B51" s="18" t="s">
        <v>34</v>
      </c>
      <c r="C51" s="39">
        <f>SUM(C47:C50)</f>
        <v>483</v>
      </c>
      <c r="D51" s="11">
        <f>SUM(D47:D50)</f>
        <v>460</v>
      </c>
      <c r="E51" s="19">
        <f t="shared" si="1"/>
        <v>943</v>
      </c>
    </row>
    <row r="52" spans="1:5" ht="12.75">
      <c r="A52" s="9" t="s">
        <v>35</v>
      </c>
      <c r="B52" s="18" t="s">
        <v>36</v>
      </c>
      <c r="C52" s="41">
        <f>C45+C51</f>
        <v>8229</v>
      </c>
      <c r="D52" s="20">
        <f>D45+D51</f>
        <v>2667</v>
      </c>
      <c r="E52" s="12">
        <f t="shared" si="1"/>
        <v>10896</v>
      </c>
    </row>
    <row r="53" spans="1:5" ht="12.75">
      <c r="A53" s="9"/>
      <c r="B53" s="10"/>
      <c r="C53" s="40"/>
      <c r="D53" s="14"/>
      <c r="E53" s="15"/>
    </row>
    <row r="54" spans="1:5" ht="12.75">
      <c r="A54" s="9"/>
      <c r="B54" s="10" t="s">
        <v>37</v>
      </c>
      <c r="C54" s="40"/>
      <c r="D54" s="14"/>
      <c r="E54" s="15"/>
    </row>
    <row r="55" spans="1:5" ht="12.75">
      <c r="A55" s="9"/>
      <c r="B55" s="17" t="s">
        <v>9</v>
      </c>
      <c r="C55" s="40">
        <f>SUM('Semi 1'!C55,'Semi 2'!C55)</f>
        <v>239</v>
      </c>
      <c r="D55" s="13">
        <f>SUM('Semi 1'!D55,'Semi 2'!D55)</f>
        <v>247</v>
      </c>
      <c r="E55" s="15">
        <f>SUM(C55:D55)</f>
        <v>486</v>
      </c>
    </row>
    <row r="56" spans="1:5" ht="12.75">
      <c r="A56" s="9"/>
      <c r="B56" s="17" t="s">
        <v>10</v>
      </c>
      <c r="C56" s="40">
        <f>SUM('Semi 1'!C56,'Semi 2'!C56)</f>
        <v>10</v>
      </c>
      <c r="D56" s="13">
        <f>SUM('Semi 1'!D56,'Semi 2'!D56)</f>
        <v>0</v>
      </c>
      <c r="E56" s="15">
        <f>SUM(C56:D56)</f>
        <v>10</v>
      </c>
    </row>
    <row r="57" spans="1:5" ht="12.75">
      <c r="A57" s="9"/>
      <c r="B57" s="17" t="s">
        <v>11</v>
      </c>
      <c r="C57" s="40">
        <f>SUM('Semi 1'!C57,'Semi 2'!C57)</f>
        <v>2</v>
      </c>
      <c r="D57" s="13">
        <f>SUM('Semi 1'!D57,'Semi 2'!D57)</f>
        <v>0</v>
      </c>
      <c r="E57" s="15">
        <f>SUM(C57:D57)</f>
        <v>2</v>
      </c>
    </row>
    <row r="58" spans="1:5" ht="12.75">
      <c r="A58" s="9"/>
      <c r="B58" s="17" t="s">
        <v>12</v>
      </c>
      <c r="C58" s="40">
        <f>SUM('Semi 1'!C58,'Semi 2'!C58)</f>
        <v>12</v>
      </c>
      <c r="D58" s="13">
        <f>SUM('Semi 1'!D58,'Semi 2'!D58)</f>
        <v>0</v>
      </c>
      <c r="E58" s="15">
        <f>SUM(C58:D58)</f>
        <v>12</v>
      </c>
    </row>
    <row r="59" spans="1:5" ht="12.75">
      <c r="A59" s="9" t="s">
        <v>38</v>
      </c>
      <c r="B59" s="10" t="s">
        <v>39</v>
      </c>
      <c r="C59" s="41">
        <f>SUM(C55:C58)</f>
        <v>263</v>
      </c>
      <c r="D59" s="20">
        <f>SUM(D55:D58)</f>
        <v>247</v>
      </c>
      <c r="E59" s="12">
        <f>SUM(C59:D59)</f>
        <v>510</v>
      </c>
    </row>
    <row r="60" spans="1:5" ht="12.75">
      <c r="A60" s="9"/>
      <c r="B60" s="10"/>
      <c r="C60" s="40"/>
      <c r="D60" s="14"/>
      <c r="E60" s="15"/>
    </row>
    <row r="61" spans="1:5" ht="12.75">
      <c r="A61" s="9"/>
      <c r="B61" s="10" t="s">
        <v>40</v>
      </c>
      <c r="C61" s="40"/>
      <c r="D61" s="14"/>
      <c r="E61" s="15"/>
    </row>
    <row r="62" spans="1:5" ht="12.75">
      <c r="A62" s="9"/>
      <c r="B62" s="17" t="s">
        <v>9</v>
      </c>
      <c r="C62" s="40">
        <f>SUM('Semi 1'!C62,'Semi 2'!C62)</f>
        <v>3082</v>
      </c>
      <c r="D62" s="13">
        <f>SUM('Semi 1'!D62,'Semi 2'!D62)</f>
        <v>866</v>
      </c>
      <c r="E62" s="15">
        <f>SUM(C62:D62)</f>
        <v>3948</v>
      </c>
    </row>
    <row r="63" spans="1:5" ht="12.75">
      <c r="A63" s="9"/>
      <c r="B63" s="17" t="s">
        <v>10</v>
      </c>
      <c r="C63" s="40">
        <f>SUM('Semi 1'!C63,'Semi 2'!C63)</f>
        <v>167</v>
      </c>
      <c r="D63" s="13">
        <f>SUM('Semi 1'!D63,'Semi 2'!D63)</f>
        <v>21</v>
      </c>
      <c r="E63" s="15">
        <f>SUM(C63:D63)</f>
        <v>188</v>
      </c>
    </row>
    <row r="64" spans="1:5" ht="12.75">
      <c r="A64" s="9"/>
      <c r="B64" s="17" t="s">
        <v>11</v>
      </c>
      <c r="C64" s="40">
        <f>SUM('Semi 1'!C64,'Semi 2'!C64)</f>
        <v>35</v>
      </c>
      <c r="D64" s="13">
        <f>SUM('Semi 1'!D64,'Semi 2'!D64)</f>
        <v>0</v>
      </c>
      <c r="E64" s="15">
        <f>SUM(C64:D64)</f>
        <v>35</v>
      </c>
    </row>
    <row r="65" spans="1:5" ht="12.75">
      <c r="A65" s="9"/>
      <c r="B65" s="17" t="s">
        <v>12</v>
      </c>
      <c r="C65" s="40">
        <f>SUM('Semi 1'!C65,'Semi 2'!C65)</f>
        <v>67</v>
      </c>
      <c r="D65" s="13">
        <f>SUM('Semi 1'!D65,'Semi 2'!D65)</f>
        <v>0</v>
      </c>
      <c r="E65" s="15">
        <f>SUM(C65:D65)</f>
        <v>67</v>
      </c>
    </row>
    <row r="66" spans="1:5" ht="12.75">
      <c r="A66" s="9" t="s">
        <v>41</v>
      </c>
      <c r="B66" s="10" t="s">
        <v>42</v>
      </c>
      <c r="C66" s="41">
        <f>SUM(C62:C65)</f>
        <v>3351</v>
      </c>
      <c r="D66" s="20">
        <f>SUM(D62:D65)</f>
        <v>887</v>
      </c>
      <c r="E66" s="12">
        <f>SUM(C66:D66)</f>
        <v>4238</v>
      </c>
    </row>
    <row r="67" spans="1:5" ht="12.75">
      <c r="A67" s="9"/>
      <c r="B67" s="10"/>
      <c r="C67" s="40"/>
      <c r="D67" s="14"/>
      <c r="E67" s="15"/>
    </row>
    <row r="68" spans="1:5" ht="12.75">
      <c r="A68" s="9" t="s">
        <v>43</v>
      </c>
      <c r="B68" s="10" t="s">
        <v>44</v>
      </c>
      <c r="C68" s="40">
        <f>SUM('Semi 1'!C68,'Semi 2'!C68)</f>
        <v>1544</v>
      </c>
      <c r="D68" s="13">
        <f>SUM('Semi 1'!D68,'Semi 2'!D68)</f>
        <v>66</v>
      </c>
      <c r="E68" s="12">
        <f>SUM(C68:D68)</f>
        <v>1610</v>
      </c>
    </row>
    <row r="69" spans="1:5" ht="12.75">
      <c r="A69" s="9"/>
      <c r="B69" s="10"/>
      <c r="C69" s="40"/>
      <c r="D69" s="14"/>
      <c r="E69" s="15"/>
    </row>
    <row r="70" spans="1:5" ht="12.75">
      <c r="A70" s="9"/>
      <c r="B70" s="10" t="s">
        <v>45</v>
      </c>
      <c r="C70" s="40"/>
      <c r="D70" s="14"/>
      <c r="E70" s="15"/>
    </row>
    <row r="71" spans="1:5" ht="12.75">
      <c r="A71" s="9" t="s">
        <v>46</v>
      </c>
      <c r="B71" s="25" t="s">
        <v>47</v>
      </c>
      <c r="C71" s="40">
        <f>SUM('Semi 1'!C71,'Semi 2'!C71)</f>
        <v>255</v>
      </c>
      <c r="D71" s="13">
        <f>SUM('Semi 1'!D71,'Semi 2'!D71)</f>
        <v>350</v>
      </c>
      <c r="E71" s="15">
        <f aca="true" t="shared" si="2" ref="E71:E77">SUM(C71:D71)</f>
        <v>605</v>
      </c>
    </row>
    <row r="72" spans="1:5" ht="12.75">
      <c r="A72" s="9" t="s">
        <v>48</v>
      </c>
      <c r="B72" s="25" t="s">
        <v>49</v>
      </c>
      <c r="C72" s="40">
        <f>SUM('Semi 1'!C72,'Semi 2'!C72)</f>
        <v>1689</v>
      </c>
      <c r="D72" s="13">
        <f>SUM('Semi 1'!D72,'Semi 2'!D72)</f>
        <v>1856</v>
      </c>
      <c r="E72" s="15">
        <f t="shared" si="2"/>
        <v>3545</v>
      </c>
    </row>
    <row r="73" spans="1:5" ht="12.75">
      <c r="A73" s="9" t="s">
        <v>50</v>
      </c>
      <c r="B73" s="25" t="s">
        <v>51</v>
      </c>
      <c r="C73" s="40">
        <f>SUM('Semi 1'!C73,'Semi 2'!C73)</f>
        <v>1266</v>
      </c>
      <c r="D73" s="13">
        <f>SUM('Semi 1'!D73,'Semi 2'!D73)</f>
        <v>2324</v>
      </c>
      <c r="E73" s="15">
        <f t="shared" si="2"/>
        <v>3590</v>
      </c>
    </row>
    <row r="74" spans="1:5" ht="12.75">
      <c r="A74" s="9" t="s">
        <v>52</v>
      </c>
      <c r="B74" s="25" t="s">
        <v>53</v>
      </c>
      <c r="C74" s="40">
        <f>SUM('Semi 1'!C74,'Semi 2'!C74)</f>
        <v>5317</v>
      </c>
      <c r="D74" s="13">
        <f>SUM('Semi 1'!D74,'Semi 2'!D74)</f>
        <v>7140</v>
      </c>
      <c r="E74" s="15">
        <f t="shared" si="2"/>
        <v>12457</v>
      </c>
    </row>
    <row r="75" spans="1:5" ht="12.75">
      <c r="A75" s="9" t="s">
        <v>54</v>
      </c>
      <c r="B75" s="25" t="s">
        <v>55</v>
      </c>
      <c r="C75" s="41">
        <f>SUM(C71:C74)</f>
        <v>8527</v>
      </c>
      <c r="D75" s="20">
        <f>SUM(D71:D74)</f>
        <v>11670</v>
      </c>
      <c r="E75" s="12">
        <f t="shared" si="2"/>
        <v>20197</v>
      </c>
    </row>
    <row r="76" spans="1:5" ht="12.75">
      <c r="A76" s="21" t="s">
        <v>56</v>
      </c>
      <c r="B76" s="22" t="s">
        <v>27</v>
      </c>
      <c r="C76" s="42">
        <f>SUM('Semi 1'!C76,'Semi 2'!C76)</f>
        <v>1021</v>
      </c>
      <c r="D76" s="23">
        <f>SUM('Semi 1'!D76,'Semi 2'!D76)</f>
        <v>170</v>
      </c>
      <c r="E76" s="34">
        <f t="shared" si="2"/>
        <v>1191</v>
      </c>
    </row>
    <row r="77" spans="1:5" ht="12.75">
      <c r="A77" s="9" t="s">
        <v>57</v>
      </c>
      <c r="B77" s="10" t="s">
        <v>58</v>
      </c>
      <c r="C77" s="41">
        <f>C75-C76</f>
        <v>7506</v>
      </c>
      <c r="D77" s="20">
        <f>D75-D76</f>
        <v>11500</v>
      </c>
      <c r="E77" s="12">
        <f t="shared" si="2"/>
        <v>19006</v>
      </c>
    </row>
    <row r="78" spans="1:5" ht="12.75">
      <c r="A78" s="9"/>
      <c r="B78" s="10"/>
      <c r="C78" s="40"/>
      <c r="D78" s="14"/>
      <c r="E78" s="15"/>
    </row>
    <row r="79" spans="1:5" ht="24">
      <c r="A79" s="9" t="s">
        <v>59</v>
      </c>
      <c r="B79" s="10" t="s">
        <v>60</v>
      </c>
      <c r="C79" s="41">
        <f>C52+C59+C66+C68+C77</f>
        <v>20893</v>
      </c>
      <c r="D79" s="20">
        <f>D52+D59+D66+D68+D77</f>
        <v>15367</v>
      </c>
      <c r="E79" s="12">
        <f>SUM(C79:D79)</f>
        <v>36260</v>
      </c>
    </row>
    <row r="80" spans="1:5" ht="12.75">
      <c r="A80" s="9"/>
      <c r="B80" s="27"/>
      <c r="C80" s="40"/>
      <c r="D80" s="14"/>
      <c r="E80" s="15"/>
    </row>
    <row r="81" spans="1:5" ht="12.75">
      <c r="A81" s="9" t="s">
        <v>61</v>
      </c>
      <c r="B81" s="10" t="s">
        <v>62</v>
      </c>
      <c r="C81" s="40">
        <f>SUM('Semi 1'!C81,'Semi 2'!C81)</f>
        <v>207</v>
      </c>
      <c r="D81" s="13">
        <f>SUM('Semi 1'!D81,'Semi 2'!D81)</f>
        <v>102</v>
      </c>
      <c r="E81" s="12">
        <f>SUM(C81:D81)</f>
        <v>309</v>
      </c>
    </row>
    <row r="82" spans="1:5" ht="12.75">
      <c r="A82" s="9"/>
      <c r="B82" s="27"/>
      <c r="C82" s="40"/>
      <c r="D82" s="14"/>
      <c r="E82" s="15"/>
    </row>
    <row r="83" spans="1:5" ht="24">
      <c r="A83" s="9" t="s">
        <v>63</v>
      </c>
      <c r="B83" s="10" t="s">
        <v>64</v>
      </c>
      <c r="C83" s="41">
        <f>C79+C81</f>
        <v>21100</v>
      </c>
      <c r="D83" s="20">
        <f>D79+D81</f>
        <v>15469</v>
      </c>
      <c r="E83" s="12">
        <f>SUM(C83:D83)</f>
        <v>36569</v>
      </c>
    </row>
    <row r="84" spans="1:5" ht="12.75">
      <c r="A84" s="9"/>
      <c r="B84" s="27"/>
      <c r="C84" s="40"/>
      <c r="D84" s="14"/>
      <c r="E84" s="15"/>
    </row>
    <row r="85" spans="1:5" ht="13.5" thickBot="1">
      <c r="A85" s="28" t="s">
        <v>65</v>
      </c>
      <c r="B85" s="29" t="s">
        <v>66</v>
      </c>
      <c r="C85" s="43">
        <f>+C8+C37-C83</f>
        <v>694</v>
      </c>
      <c r="D85" s="43">
        <f>+D8+D37-D83</f>
        <v>785</v>
      </c>
      <c r="E85" s="30">
        <f>SUM(C85:D85)</f>
        <v>1479</v>
      </c>
    </row>
    <row r="86" spans="1:5" ht="30" customHeight="1">
      <c r="A86" s="69" t="s">
        <v>67</v>
      </c>
      <c r="B86" s="70"/>
      <c r="C86" s="35">
        <f>(C8+C35)-(C76+C83)</f>
        <v>694</v>
      </c>
      <c r="D86" s="35">
        <f>(D8+D35)-(D76+D83)</f>
        <v>785</v>
      </c>
      <c r="E86" s="35">
        <f>(E8+E35)-(E76+E83)</f>
        <v>1479</v>
      </c>
    </row>
    <row r="87" spans="1:5" ht="42.75" customHeight="1">
      <c r="A87" s="67" t="s">
        <v>68</v>
      </c>
      <c r="B87" s="67"/>
      <c r="C87" s="67"/>
      <c r="D87" s="67"/>
      <c r="E87" s="67"/>
    </row>
    <row r="88" spans="1:5" ht="12.75">
      <c r="A88" s="36"/>
      <c r="B88" s="37"/>
      <c r="C88" s="37"/>
      <c r="D88" s="37"/>
      <c r="E88" s="37"/>
    </row>
    <row r="89" spans="1:5" ht="15" customHeight="1">
      <c r="A89" s="62" t="s">
        <v>69</v>
      </c>
      <c r="B89" s="63"/>
      <c r="C89" s="63"/>
      <c r="D89" s="63"/>
      <c r="E89" s="63"/>
    </row>
    <row r="90" ht="12.75">
      <c r="A90" s="31"/>
    </row>
    <row r="91" spans="1:5" ht="45.75" customHeight="1">
      <c r="A91" s="58" t="s">
        <v>70</v>
      </c>
      <c r="B91" s="59"/>
      <c r="C91" s="59"/>
      <c r="D91" s="59"/>
      <c r="E91" s="59"/>
    </row>
    <row r="92" ht="15" customHeight="1">
      <c r="A92" s="32"/>
    </row>
    <row r="93" ht="15.75">
      <c r="A93" s="33" t="s">
        <v>90</v>
      </c>
    </row>
  </sheetData>
  <sheetProtection/>
  <mergeCells count="5">
    <mergeCell ref="A91:E91"/>
    <mergeCell ref="A89:E89"/>
    <mergeCell ref="C6:E6"/>
    <mergeCell ref="A86:B86"/>
    <mergeCell ref="A87:E87"/>
  </mergeCells>
  <printOptions/>
  <pageMargins left="0.25" right="0.25" top="0.8" bottom="0.33" header="0.48" footer="0.21"/>
  <pageSetup fitToHeight="1" fitToWidth="1" horizontalDpi="600" verticalDpi="600" orientation="portrait" paperSize="5"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1">
      <selection activeCell="C19" sqref="C19"/>
    </sheetView>
  </sheetViews>
  <sheetFormatPr defaultColWidth="8.8515625" defaultRowHeight="12.75"/>
  <cols>
    <col min="1" max="1" width="2.8515625" style="0" customWidth="1"/>
    <col min="2" max="2" width="69.8515625" style="0" customWidth="1"/>
  </cols>
  <sheetData>
    <row r="1" spans="1:5" ht="18">
      <c r="A1" s="60" t="s">
        <v>71</v>
      </c>
      <c r="B1" s="61"/>
      <c r="C1" s="61"/>
      <c r="D1" s="61"/>
      <c r="E1" s="61"/>
    </row>
    <row r="2" ht="15.75">
      <c r="A2" s="2" t="s">
        <v>0</v>
      </c>
    </row>
    <row r="3" ht="15.75">
      <c r="A3" s="2" t="s">
        <v>1</v>
      </c>
    </row>
    <row r="4" ht="15.75">
      <c r="A4" s="44" t="str">
        <f>+'Jan '!A4</f>
        <v>YEAR: 1/1/2010 - 12/31/2010</v>
      </c>
    </row>
    <row r="5" ht="13.5" thickBot="1">
      <c r="A5" s="3"/>
    </row>
    <row r="6" spans="1:5" ht="13.5" thickBot="1">
      <c r="A6" s="4"/>
      <c r="B6" s="5" t="str">
        <f>+'Jan '!B6</f>
        <v>NAME OF ORGANIZATION:  Miami Dade Coalition</v>
      </c>
      <c r="C6" s="64" t="s">
        <v>89</v>
      </c>
      <c r="D6" s="65"/>
      <c r="E6" s="66"/>
    </row>
    <row r="7" spans="1:5" ht="12.75">
      <c r="A7" s="4"/>
      <c r="B7" s="6"/>
      <c r="C7" s="38" t="s">
        <v>2</v>
      </c>
      <c r="D7" s="7" t="s">
        <v>3</v>
      </c>
      <c r="E7" s="8" t="s">
        <v>4</v>
      </c>
    </row>
    <row r="8" spans="1:5" ht="12.75">
      <c r="A8" s="9" t="s">
        <v>5</v>
      </c>
      <c r="B8" s="10" t="s">
        <v>6</v>
      </c>
      <c r="C8" s="39">
        <f>+'Jan '!C85</f>
        <v>407</v>
      </c>
      <c r="D8" s="11">
        <f>+'Jan '!D85</f>
        <v>732</v>
      </c>
      <c r="E8" s="12">
        <f>SUM(C8:D8)</f>
        <v>1139</v>
      </c>
    </row>
    <row r="9" spans="1:5" ht="12.75">
      <c r="A9" s="9"/>
      <c r="B9" s="10"/>
      <c r="C9" s="40"/>
      <c r="D9" s="14"/>
      <c r="E9" s="12"/>
    </row>
    <row r="10" spans="1:5" ht="12.75">
      <c r="A10" s="9"/>
      <c r="B10" s="10" t="s">
        <v>7</v>
      </c>
      <c r="C10" s="40"/>
      <c r="D10" s="14"/>
      <c r="E10" s="15"/>
    </row>
    <row r="11" spans="1:5" ht="12.75">
      <c r="A11" s="9"/>
      <c r="B11" s="16" t="s">
        <v>8</v>
      </c>
      <c r="C11" s="40"/>
      <c r="D11" s="14"/>
      <c r="E11" s="15"/>
    </row>
    <row r="12" spans="1:5" ht="12.75">
      <c r="A12" s="9"/>
      <c r="B12" s="17" t="s">
        <v>9</v>
      </c>
      <c r="C12" s="40">
        <f>683+57+23</f>
        <v>763</v>
      </c>
      <c r="D12" s="14">
        <f>240+20+25+1</f>
        <v>286</v>
      </c>
      <c r="E12" s="15">
        <f>SUM(C12:D12)</f>
        <v>1049</v>
      </c>
    </row>
    <row r="13" spans="1:5" ht="12.75">
      <c r="A13" s="9"/>
      <c r="B13" s="17" t="s">
        <v>10</v>
      </c>
      <c r="C13" s="40">
        <f>102+2+11</f>
        <v>115</v>
      </c>
      <c r="D13" s="14">
        <v>119</v>
      </c>
      <c r="E13" s="15">
        <f>SUM(C13:D13)</f>
        <v>234</v>
      </c>
    </row>
    <row r="14" spans="1:5" ht="12.75">
      <c r="A14" s="9"/>
      <c r="B14" s="17" t="s">
        <v>11</v>
      </c>
      <c r="C14" s="40">
        <f>189+1+1</f>
        <v>191</v>
      </c>
      <c r="D14" s="14">
        <v>121</v>
      </c>
      <c r="E14" s="15">
        <f>SUM(C14:D14)</f>
        <v>312</v>
      </c>
    </row>
    <row r="15" spans="1:5" ht="12.75">
      <c r="A15" s="9"/>
      <c r="B15" s="17" t="s">
        <v>12</v>
      </c>
      <c r="C15" s="40">
        <f>480+2</f>
        <v>482</v>
      </c>
      <c r="D15" s="14">
        <v>119</v>
      </c>
      <c r="E15" s="15">
        <f>SUM(C15:D15)</f>
        <v>601</v>
      </c>
    </row>
    <row r="16" spans="1:5" ht="12.75">
      <c r="A16" s="9" t="s">
        <v>13</v>
      </c>
      <c r="B16" s="18" t="s">
        <v>14</v>
      </c>
      <c r="C16" s="50">
        <f>SUM(C12:C15)</f>
        <v>1551</v>
      </c>
      <c r="D16" s="11">
        <f>SUM(D12:D15)</f>
        <v>645</v>
      </c>
      <c r="E16" s="19">
        <f>SUM(C16:D16)</f>
        <v>2196</v>
      </c>
    </row>
    <row r="17" spans="1:5" ht="12.75">
      <c r="A17" s="9"/>
      <c r="B17" s="16" t="s">
        <v>15</v>
      </c>
      <c r="C17" s="40"/>
      <c r="D17" s="14"/>
      <c r="E17" s="15"/>
    </row>
    <row r="18" spans="1:5" ht="12.75">
      <c r="A18" s="9"/>
      <c r="B18" s="17" t="s">
        <v>9</v>
      </c>
      <c r="C18" s="40">
        <v>15</v>
      </c>
      <c r="D18" s="14"/>
      <c r="E18" s="15">
        <f>SUM(C18:D18)</f>
        <v>15</v>
      </c>
    </row>
    <row r="19" spans="1:5" ht="12.75">
      <c r="A19" s="9"/>
      <c r="B19" s="17" t="s">
        <v>10</v>
      </c>
      <c r="C19" s="40"/>
      <c r="D19" s="14"/>
      <c r="E19" s="15">
        <f>SUM(C19:D19)</f>
        <v>0</v>
      </c>
    </row>
    <row r="20" spans="1:5" ht="12.75">
      <c r="A20" s="9"/>
      <c r="B20" s="17" t="s">
        <v>11</v>
      </c>
      <c r="C20" s="40"/>
      <c r="D20" s="14"/>
      <c r="E20" s="15">
        <f>SUM(C20:D20)</f>
        <v>0</v>
      </c>
    </row>
    <row r="21" spans="1:5" ht="12.75">
      <c r="A21" s="9"/>
      <c r="B21" s="17" t="s">
        <v>12</v>
      </c>
      <c r="C21" s="40"/>
      <c r="D21" s="14"/>
      <c r="E21" s="15">
        <f>SUM(C21:D21)</f>
        <v>0</v>
      </c>
    </row>
    <row r="22" spans="1:5" ht="12.75">
      <c r="A22" s="9" t="s">
        <v>16</v>
      </c>
      <c r="B22" s="18" t="s">
        <v>95</v>
      </c>
      <c r="C22" s="50">
        <f>SUM(C17:C21)</f>
        <v>15</v>
      </c>
      <c r="D22" s="11">
        <f>SUM(D17:D21)</f>
        <v>0</v>
      </c>
      <c r="E22" s="19">
        <f>SUM(C22:D22)</f>
        <v>15</v>
      </c>
    </row>
    <row r="23" spans="1:5" ht="12.75">
      <c r="A23" s="9"/>
      <c r="B23" s="16" t="s">
        <v>18</v>
      </c>
      <c r="C23" s="40"/>
      <c r="D23" s="14"/>
      <c r="E23" s="15"/>
    </row>
    <row r="24" spans="1:5" ht="12.75">
      <c r="A24" s="9"/>
      <c r="B24" s="17" t="s">
        <v>9</v>
      </c>
      <c r="C24" s="40"/>
      <c r="D24" s="14"/>
      <c r="E24" s="15">
        <f>SUM(C24:D24)</f>
        <v>0</v>
      </c>
    </row>
    <row r="25" spans="1:5" ht="12.75">
      <c r="A25" s="9"/>
      <c r="B25" s="17" t="s">
        <v>10</v>
      </c>
      <c r="C25" s="40"/>
      <c r="D25" s="14"/>
      <c r="E25" s="15">
        <f>SUM(C25:D25)</f>
        <v>0</v>
      </c>
    </row>
    <row r="26" spans="1:5" ht="12.75">
      <c r="A26" s="9"/>
      <c r="B26" s="17" t="s">
        <v>11</v>
      </c>
      <c r="C26" s="40"/>
      <c r="D26" s="14"/>
      <c r="E26" s="15">
        <f>SUM(C26:D26)</f>
        <v>0</v>
      </c>
    </row>
    <row r="27" spans="1:5" ht="12.75">
      <c r="A27" s="9"/>
      <c r="B27" s="17" t="s">
        <v>12</v>
      </c>
      <c r="C27" s="40"/>
      <c r="D27" s="14"/>
      <c r="E27" s="15">
        <f>SUM(C27:D27)</f>
        <v>0</v>
      </c>
    </row>
    <row r="28" spans="1:5" ht="12.75">
      <c r="A28" s="9" t="s">
        <v>19</v>
      </c>
      <c r="B28" s="18" t="s">
        <v>96</v>
      </c>
      <c r="C28" s="39">
        <f>SUM(C24:C27)</f>
        <v>0</v>
      </c>
      <c r="D28" s="11">
        <f>SUM(D24:D27)</f>
        <v>0</v>
      </c>
      <c r="E28" s="19">
        <f>SUM(C28:D28)</f>
        <v>0</v>
      </c>
    </row>
    <row r="29" spans="1:5" ht="12.75">
      <c r="A29" s="9"/>
      <c r="B29" s="16" t="s">
        <v>21</v>
      </c>
      <c r="C29" s="40"/>
      <c r="D29" s="14"/>
      <c r="E29" s="15"/>
    </row>
    <row r="30" spans="1:5" ht="12.75">
      <c r="A30" s="9"/>
      <c r="B30" s="17" t="s">
        <v>9</v>
      </c>
      <c r="C30" s="40"/>
      <c r="D30" s="14"/>
      <c r="E30" s="15">
        <f aca="true" t="shared" si="0" ref="E30:E37">SUM(C30:D30)</f>
        <v>0</v>
      </c>
    </row>
    <row r="31" spans="1:5" ht="12.75">
      <c r="A31" s="9"/>
      <c r="B31" s="17" t="s">
        <v>10</v>
      </c>
      <c r="C31" s="40"/>
      <c r="D31" s="14"/>
      <c r="E31" s="15">
        <f t="shared" si="0"/>
        <v>0</v>
      </c>
    </row>
    <row r="32" spans="1:5" ht="12.75">
      <c r="A32" s="9"/>
      <c r="B32" s="17" t="s">
        <v>11</v>
      </c>
      <c r="C32" s="40"/>
      <c r="D32" s="14"/>
      <c r="E32" s="15">
        <f t="shared" si="0"/>
        <v>0</v>
      </c>
    </row>
    <row r="33" spans="1:5" ht="12.75">
      <c r="A33" s="9"/>
      <c r="B33" s="17" t="s">
        <v>12</v>
      </c>
      <c r="C33" s="40">
        <v>57</v>
      </c>
      <c r="D33" s="14">
        <v>7</v>
      </c>
      <c r="E33" s="15">
        <f t="shared" si="0"/>
        <v>64</v>
      </c>
    </row>
    <row r="34" spans="1:5" ht="12.75">
      <c r="A34" s="9" t="s">
        <v>22</v>
      </c>
      <c r="B34" s="18" t="s">
        <v>23</v>
      </c>
      <c r="C34" s="39">
        <f>SUM(C30:C33)</f>
        <v>57</v>
      </c>
      <c r="D34" s="11">
        <f>SUM(D30:D33)</f>
        <v>7</v>
      </c>
      <c r="E34" s="19">
        <f t="shared" si="0"/>
        <v>64</v>
      </c>
    </row>
    <row r="35" spans="1:5" ht="15">
      <c r="A35" s="9" t="s">
        <v>24</v>
      </c>
      <c r="B35" s="46" t="s">
        <v>97</v>
      </c>
      <c r="C35" s="47">
        <f>C16+C22+C28+C34</f>
        <v>1623</v>
      </c>
      <c r="D35" s="48">
        <f>D16+D22+D28+D34</f>
        <v>652</v>
      </c>
      <c r="E35" s="49">
        <f t="shared" si="0"/>
        <v>2275</v>
      </c>
    </row>
    <row r="36" spans="1:5" ht="12.75">
      <c r="A36" s="21" t="s">
        <v>26</v>
      </c>
      <c r="B36" s="22" t="s">
        <v>27</v>
      </c>
      <c r="C36" s="42">
        <f>+C33</f>
        <v>57</v>
      </c>
      <c r="D36" s="24">
        <f>+D33</f>
        <v>7</v>
      </c>
      <c r="E36" s="34">
        <f t="shared" si="0"/>
        <v>64</v>
      </c>
    </row>
    <row r="37" spans="1:5" ht="15">
      <c r="A37" s="9" t="s">
        <v>28</v>
      </c>
      <c r="B37" s="46" t="s">
        <v>98</v>
      </c>
      <c r="C37" s="47">
        <f>C35-C36</f>
        <v>1566</v>
      </c>
      <c r="D37" s="48">
        <f>D35-D36</f>
        <v>645</v>
      </c>
      <c r="E37" s="49">
        <f t="shared" si="0"/>
        <v>2211</v>
      </c>
    </row>
    <row r="38" spans="1:5" ht="12.75">
      <c r="A38" s="9"/>
      <c r="B38" s="25"/>
      <c r="C38" s="40"/>
      <c r="D38" s="14"/>
      <c r="E38" s="15"/>
    </row>
    <row r="39" spans="1:5" ht="12.75">
      <c r="A39" s="9"/>
      <c r="B39" s="10" t="s">
        <v>30</v>
      </c>
      <c r="C39" s="40"/>
      <c r="D39" s="14"/>
      <c r="E39" s="15"/>
    </row>
    <row r="40" spans="1:5" ht="12.75">
      <c r="A40" s="9"/>
      <c r="B40" s="26" t="s">
        <v>31</v>
      </c>
      <c r="C40" s="40"/>
      <c r="D40" s="14"/>
      <c r="E40" s="15"/>
    </row>
    <row r="41" spans="1:5" ht="12.75">
      <c r="A41" s="9"/>
      <c r="B41" s="17" t="s">
        <v>9</v>
      </c>
      <c r="C41" s="40">
        <f>349+81</f>
        <v>430</v>
      </c>
      <c r="D41" s="14">
        <f>112+23</f>
        <v>135</v>
      </c>
      <c r="E41" s="15">
        <f>SUM(C41:D41)</f>
        <v>565</v>
      </c>
    </row>
    <row r="42" spans="1:5" ht="12.75">
      <c r="A42" s="9"/>
      <c r="B42" s="17" t="s">
        <v>10</v>
      </c>
      <c r="C42" s="40">
        <f>159+1</f>
        <v>160</v>
      </c>
      <c r="D42" s="14">
        <f>9+1</f>
        <v>10</v>
      </c>
      <c r="E42" s="15">
        <f>SUM(C42:D42)</f>
        <v>170</v>
      </c>
    </row>
    <row r="43" spans="1:5" ht="12.75">
      <c r="A43" s="9"/>
      <c r="B43" s="17" t="s">
        <v>11</v>
      </c>
      <c r="C43" s="40">
        <v>16</v>
      </c>
      <c r="D43" s="14">
        <v>3</v>
      </c>
      <c r="E43" s="15">
        <f>SUM(C43:D43)</f>
        <v>19</v>
      </c>
    </row>
    <row r="44" spans="1:5" ht="12.75">
      <c r="A44" s="9"/>
      <c r="B44" s="17" t="s">
        <v>12</v>
      </c>
      <c r="C44" s="40">
        <v>5</v>
      </c>
      <c r="D44" s="14">
        <v>0</v>
      </c>
      <c r="E44" s="15">
        <f>SUM(C44:D44)</f>
        <v>5</v>
      </c>
    </row>
    <row r="45" spans="1:5" ht="12.75">
      <c r="A45" s="9"/>
      <c r="B45" s="18" t="s">
        <v>99</v>
      </c>
      <c r="C45" s="50">
        <f>SUM(C41:C44)</f>
        <v>611</v>
      </c>
      <c r="D45" s="11">
        <f>SUM(D41:D44)</f>
        <v>148</v>
      </c>
      <c r="E45" s="19">
        <f>SUM(C45:D45)</f>
        <v>759</v>
      </c>
    </row>
    <row r="46" spans="1:5" ht="12.75">
      <c r="A46" s="9"/>
      <c r="B46" s="26" t="s">
        <v>33</v>
      </c>
      <c r="C46" s="40"/>
      <c r="D46" s="14"/>
      <c r="E46" s="15"/>
    </row>
    <row r="47" spans="1:5" ht="12.75">
      <c r="A47" s="9"/>
      <c r="B47" s="17" t="s">
        <v>9</v>
      </c>
      <c r="C47" s="40">
        <v>25</v>
      </c>
      <c r="D47" s="14">
        <f>37+1</f>
        <v>38</v>
      </c>
      <c r="E47" s="15">
        <f aca="true" t="shared" si="1" ref="E47:E52">SUM(C47:D47)</f>
        <v>63</v>
      </c>
    </row>
    <row r="48" spans="1:5" ht="12.75">
      <c r="A48" s="9"/>
      <c r="B48" s="17" t="s">
        <v>10</v>
      </c>
      <c r="C48" s="40">
        <v>9</v>
      </c>
      <c r="D48" s="14"/>
      <c r="E48" s="15">
        <f t="shared" si="1"/>
        <v>9</v>
      </c>
    </row>
    <row r="49" spans="1:5" ht="12.75">
      <c r="A49" s="9"/>
      <c r="B49" s="17" t="s">
        <v>11</v>
      </c>
      <c r="C49" s="40">
        <v>3</v>
      </c>
      <c r="D49" s="14"/>
      <c r="E49" s="15">
        <f t="shared" si="1"/>
        <v>3</v>
      </c>
    </row>
    <row r="50" spans="1:5" ht="12.75">
      <c r="A50" s="9"/>
      <c r="B50" s="17" t="s">
        <v>12</v>
      </c>
      <c r="C50" s="40"/>
      <c r="D50" s="14"/>
      <c r="E50" s="15">
        <f t="shared" si="1"/>
        <v>0</v>
      </c>
    </row>
    <row r="51" spans="1:5" ht="24">
      <c r="A51" s="9"/>
      <c r="B51" s="18" t="s">
        <v>100</v>
      </c>
      <c r="C51" s="50">
        <f>SUM(C47:C50)</f>
        <v>37</v>
      </c>
      <c r="D51" s="11">
        <f>SUM(D47:D50)</f>
        <v>38</v>
      </c>
      <c r="E51" s="19">
        <f t="shared" si="1"/>
        <v>75</v>
      </c>
    </row>
    <row r="52" spans="1:5" ht="12.75">
      <c r="A52" s="54" t="s">
        <v>35</v>
      </c>
      <c r="B52" s="55" t="s">
        <v>36</v>
      </c>
      <c r="C52" s="51">
        <f>+C51+C45</f>
        <v>648</v>
      </c>
      <c r="D52" s="20">
        <f>+D51+D45</f>
        <v>186</v>
      </c>
      <c r="E52" s="12">
        <f t="shared" si="1"/>
        <v>834</v>
      </c>
    </row>
    <row r="53" spans="1:5" ht="12.75">
      <c r="A53" s="9"/>
      <c r="B53" s="10"/>
      <c r="C53" s="40"/>
      <c r="D53" s="14"/>
      <c r="E53" s="15"/>
    </row>
    <row r="54" spans="1:5" ht="12.75">
      <c r="A54" s="9"/>
      <c r="B54" s="10" t="s">
        <v>37</v>
      </c>
      <c r="C54" s="40"/>
      <c r="D54" s="14"/>
      <c r="E54" s="15"/>
    </row>
    <row r="55" spans="1:5" ht="12.75">
      <c r="A55" s="9"/>
      <c r="B55" s="17" t="s">
        <v>9</v>
      </c>
      <c r="C55" s="40">
        <v>15</v>
      </c>
      <c r="D55" s="14">
        <v>0</v>
      </c>
      <c r="E55" s="15">
        <f>SUM(C55:D55)</f>
        <v>15</v>
      </c>
    </row>
    <row r="56" spans="1:5" ht="12.75">
      <c r="A56" s="9"/>
      <c r="B56" s="17" t="s">
        <v>10</v>
      </c>
      <c r="C56" s="40">
        <v>0</v>
      </c>
      <c r="D56" s="14">
        <v>0</v>
      </c>
      <c r="E56" s="15">
        <f>SUM(C56:D56)</f>
        <v>0</v>
      </c>
    </row>
    <row r="57" spans="1:5" ht="12.75">
      <c r="A57" s="9"/>
      <c r="B57" s="17" t="s">
        <v>11</v>
      </c>
      <c r="C57" s="40">
        <v>0</v>
      </c>
      <c r="D57" s="14">
        <v>0</v>
      </c>
      <c r="E57" s="15">
        <f>SUM(C57:D57)</f>
        <v>0</v>
      </c>
    </row>
    <row r="58" spans="1:5" ht="12.75">
      <c r="A58" s="9"/>
      <c r="B58" s="17" t="s">
        <v>12</v>
      </c>
      <c r="C58" s="40">
        <v>0</v>
      </c>
      <c r="D58" s="14">
        <v>0</v>
      </c>
      <c r="E58" s="15">
        <f>SUM(C58:D58)</f>
        <v>0</v>
      </c>
    </row>
    <row r="59" spans="1:5" ht="12.75">
      <c r="A59" s="54" t="s">
        <v>38</v>
      </c>
      <c r="B59" s="57" t="s">
        <v>101</v>
      </c>
      <c r="C59" s="41">
        <f>SUM(C55:C58)</f>
        <v>15</v>
      </c>
      <c r="D59" s="20">
        <f>SUM(D55:D58)</f>
        <v>0</v>
      </c>
      <c r="E59" s="12">
        <f>SUM(C59:D59)</f>
        <v>15</v>
      </c>
    </row>
    <row r="60" spans="1:5" ht="12.75">
      <c r="A60" s="9"/>
      <c r="B60" s="10"/>
      <c r="C60" s="40"/>
      <c r="D60" s="14"/>
      <c r="E60" s="15"/>
    </row>
    <row r="61" spans="1:5" ht="12.75">
      <c r="A61" s="9"/>
      <c r="B61" s="10" t="s">
        <v>40</v>
      </c>
      <c r="C61" s="40"/>
      <c r="D61" s="14"/>
      <c r="E61" s="15"/>
    </row>
    <row r="62" spans="1:5" ht="12.75">
      <c r="A62" s="9"/>
      <c r="B62" s="17" t="s">
        <v>9</v>
      </c>
      <c r="C62" s="40">
        <v>261</v>
      </c>
      <c r="D62" s="14">
        <v>42</v>
      </c>
      <c r="E62" s="15">
        <f>SUM(C62:D62)</f>
        <v>303</v>
      </c>
    </row>
    <row r="63" spans="1:5" ht="12.75">
      <c r="A63" s="9"/>
      <c r="B63" s="17" t="s">
        <v>10</v>
      </c>
      <c r="C63" s="40">
        <v>14</v>
      </c>
      <c r="D63" s="14">
        <v>1</v>
      </c>
      <c r="E63" s="15">
        <f>SUM(C63:D63)</f>
        <v>15</v>
      </c>
    </row>
    <row r="64" spans="1:5" ht="12.75">
      <c r="A64" s="9"/>
      <c r="B64" s="17" t="s">
        <v>11</v>
      </c>
      <c r="C64" s="40">
        <v>3</v>
      </c>
      <c r="D64" s="14">
        <v>0</v>
      </c>
      <c r="E64" s="15">
        <f>SUM(C64:D64)</f>
        <v>3</v>
      </c>
    </row>
    <row r="65" spans="1:5" ht="12.75">
      <c r="A65" s="9"/>
      <c r="B65" s="17" t="s">
        <v>12</v>
      </c>
      <c r="C65" s="40">
        <v>6</v>
      </c>
      <c r="D65" s="14">
        <v>0</v>
      </c>
      <c r="E65" s="15">
        <f>SUM(C65:D65)</f>
        <v>6</v>
      </c>
    </row>
    <row r="66" spans="1:5" ht="12.75">
      <c r="A66" s="54" t="s">
        <v>41</v>
      </c>
      <c r="B66" s="57" t="s">
        <v>102</v>
      </c>
      <c r="C66" s="41">
        <f>SUM(C62:C65)</f>
        <v>284</v>
      </c>
      <c r="D66" s="20">
        <f>SUM(D62:D65)</f>
        <v>43</v>
      </c>
      <c r="E66" s="12">
        <f>SUM(C66:D66)</f>
        <v>327</v>
      </c>
    </row>
    <row r="67" spans="1:5" ht="12.75">
      <c r="A67" s="9"/>
      <c r="B67" s="10"/>
      <c r="C67" s="40"/>
      <c r="D67" s="14"/>
      <c r="E67" s="15"/>
    </row>
    <row r="68" spans="1:5" ht="12.75">
      <c r="A68" s="9" t="s">
        <v>43</v>
      </c>
      <c r="B68" s="10" t="s">
        <v>44</v>
      </c>
      <c r="C68" s="41">
        <f>110+6</f>
        <v>116</v>
      </c>
      <c r="D68" s="20">
        <v>2</v>
      </c>
      <c r="E68" s="12">
        <f>SUM(C68:D68)</f>
        <v>118</v>
      </c>
    </row>
    <row r="69" spans="1:5" ht="12.75">
      <c r="A69" s="9"/>
      <c r="B69" s="10"/>
      <c r="C69" s="40"/>
      <c r="D69" s="14"/>
      <c r="E69" s="15"/>
    </row>
    <row r="70" spans="1:5" ht="12.75">
      <c r="A70" s="9"/>
      <c r="B70" s="10" t="s">
        <v>45</v>
      </c>
      <c r="C70" s="40"/>
      <c r="D70" s="14"/>
      <c r="E70" s="15"/>
    </row>
    <row r="71" spans="1:5" ht="12.75">
      <c r="A71" s="9" t="s">
        <v>46</v>
      </c>
      <c r="B71" s="25" t="s">
        <v>47</v>
      </c>
      <c r="C71" s="40">
        <v>18</v>
      </c>
      <c r="D71" s="14">
        <v>13</v>
      </c>
      <c r="E71" s="15">
        <f aca="true" t="shared" si="2" ref="E71:E77">SUM(C71:D71)</f>
        <v>31</v>
      </c>
    </row>
    <row r="72" spans="1:5" ht="12.75">
      <c r="A72" s="9" t="s">
        <v>48</v>
      </c>
      <c r="B72" s="25" t="s">
        <v>49</v>
      </c>
      <c r="C72" s="40">
        <v>115</v>
      </c>
      <c r="D72" s="14">
        <v>68</v>
      </c>
      <c r="E72" s="15">
        <f t="shared" si="2"/>
        <v>183</v>
      </c>
    </row>
    <row r="73" spans="1:5" ht="12.75">
      <c r="A73" s="9" t="s">
        <v>50</v>
      </c>
      <c r="B73" s="25" t="s">
        <v>51</v>
      </c>
      <c r="C73" s="40">
        <v>86</v>
      </c>
      <c r="D73" s="14">
        <v>85</v>
      </c>
      <c r="E73" s="15">
        <f t="shared" si="2"/>
        <v>171</v>
      </c>
    </row>
    <row r="74" spans="1:5" ht="12.75">
      <c r="A74" s="9" t="s">
        <v>52</v>
      </c>
      <c r="B74" s="25" t="s">
        <v>53</v>
      </c>
      <c r="C74" s="40">
        <f>357+18</f>
        <v>375</v>
      </c>
      <c r="D74" s="14">
        <f>260+1</f>
        <v>261</v>
      </c>
      <c r="E74" s="15">
        <f t="shared" si="2"/>
        <v>636</v>
      </c>
    </row>
    <row r="75" spans="1:5" ht="12.75">
      <c r="A75" s="9" t="s">
        <v>54</v>
      </c>
      <c r="B75" s="25" t="s">
        <v>55</v>
      </c>
      <c r="C75" s="41">
        <f>SUM(C71:C74)</f>
        <v>594</v>
      </c>
      <c r="D75" s="20">
        <f>SUM(D71:D74)</f>
        <v>427</v>
      </c>
      <c r="E75" s="12">
        <f t="shared" si="2"/>
        <v>1021</v>
      </c>
    </row>
    <row r="76" spans="1:5" ht="12.75">
      <c r="A76" s="21" t="s">
        <v>56</v>
      </c>
      <c r="B76" s="22" t="s">
        <v>27</v>
      </c>
      <c r="C76" s="42">
        <f>+C36</f>
        <v>57</v>
      </c>
      <c r="D76" s="24">
        <f>+D36</f>
        <v>7</v>
      </c>
      <c r="E76" s="34">
        <f t="shared" si="2"/>
        <v>64</v>
      </c>
    </row>
    <row r="77" spans="1:5" ht="12.75">
      <c r="A77" s="9" t="s">
        <v>57</v>
      </c>
      <c r="B77" s="10" t="s">
        <v>58</v>
      </c>
      <c r="C77" s="41">
        <f>C75-C76</f>
        <v>537</v>
      </c>
      <c r="D77" s="20">
        <f>D75-D76</f>
        <v>420</v>
      </c>
      <c r="E77" s="12">
        <f t="shared" si="2"/>
        <v>957</v>
      </c>
    </row>
    <row r="78" spans="1:5" ht="12.75">
      <c r="A78" s="9"/>
      <c r="B78" s="10"/>
      <c r="C78" s="40"/>
      <c r="D78" s="14"/>
      <c r="E78" s="15"/>
    </row>
    <row r="79" spans="1:5" ht="24">
      <c r="A79" s="9" t="s">
        <v>59</v>
      </c>
      <c r="B79" s="10" t="s">
        <v>60</v>
      </c>
      <c r="C79" s="41">
        <f>C52+C59+C66+C68+C77</f>
        <v>1600</v>
      </c>
      <c r="D79" s="20">
        <f>D52+D59+D66+D68+D77</f>
        <v>651</v>
      </c>
      <c r="E79" s="12">
        <f>SUM(C79:D79)</f>
        <v>2251</v>
      </c>
    </row>
    <row r="80" spans="1:5" ht="12.75">
      <c r="A80" s="9"/>
      <c r="B80" s="27"/>
      <c r="C80" s="40"/>
      <c r="D80" s="14"/>
      <c r="E80" s="15"/>
    </row>
    <row r="81" spans="1:5" ht="12.75">
      <c r="A81" s="9" t="s">
        <v>61</v>
      </c>
      <c r="B81" s="10" t="s">
        <v>62</v>
      </c>
      <c r="C81" s="41">
        <f>12+2</f>
        <v>14</v>
      </c>
      <c r="D81" s="20">
        <v>5</v>
      </c>
      <c r="E81" s="12">
        <f>SUM(C81:D81)</f>
        <v>19</v>
      </c>
    </row>
    <row r="82" spans="1:5" ht="12.75">
      <c r="A82" s="9"/>
      <c r="B82" s="27"/>
      <c r="C82" s="40"/>
      <c r="D82" s="14"/>
      <c r="E82" s="15"/>
    </row>
    <row r="83" spans="1:5" ht="24">
      <c r="A83" s="9" t="s">
        <v>63</v>
      </c>
      <c r="B83" s="10" t="s">
        <v>64</v>
      </c>
      <c r="C83" s="41">
        <f>C79+C81</f>
        <v>1614</v>
      </c>
      <c r="D83" s="20">
        <f>D79+D81</f>
        <v>656</v>
      </c>
      <c r="E83" s="12">
        <f>SUM(C83:D83)</f>
        <v>2270</v>
      </c>
    </row>
    <row r="84" spans="1:5" ht="12.75">
      <c r="A84" s="9"/>
      <c r="B84" s="27"/>
      <c r="C84" s="40"/>
      <c r="D84" s="14"/>
      <c r="E84" s="15"/>
    </row>
    <row r="85" spans="1:5" ht="13.5" thickBot="1">
      <c r="A85" s="28" t="s">
        <v>65</v>
      </c>
      <c r="B85" s="29" t="s">
        <v>66</v>
      </c>
      <c r="C85" s="52">
        <f>+C8+C37-C83</f>
        <v>359</v>
      </c>
      <c r="D85" s="53">
        <f>+D8+D37-D83</f>
        <v>721</v>
      </c>
      <c r="E85" s="30">
        <f>SUM(C85:D85)</f>
        <v>1080</v>
      </c>
    </row>
    <row r="86" spans="1:5" ht="30" customHeight="1">
      <c r="A86" s="69" t="s">
        <v>67</v>
      </c>
      <c r="B86" s="70"/>
      <c r="C86" s="35">
        <f>(C8+C35)-(C76+C83)</f>
        <v>359</v>
      </c>
      <c r="D86" s="35">
        <f>(D8+D35)-(D76+D83)</f>
        <v>721</v>
      </c>
      <c r="E86" s="35">
        <f>(E8+E35)-(E76+E83)</f>
        <v>1080</v>
      </c>
    </row>
    <row r="87" spans="1:5" ht="42.75" customHeight="1">
      <c r="A87" s="67" t="s">
        <v>68</v>
      </c>
      <c r="B87" s="68"/>
      <c r="C87" s="68"/>
      <c r="D87" s="68"/>
      <c r="E87" s="68"/>
    </row>
    <row r="88" spans="1:5" ht="12.75">
      <c r="A88" s="36"/>
      <c r="B88" s="37"/>
      <c r="C88" s="37"/>
      <c r="D88" s="37"/>
      <c r="E88" s="37"/>
    </row>
    <row r="89" spans="1:5" ht="15" customHeight="1">
      <c r="A89" s="62" t="s">
        <v>69</v>
      </c>
      <c r="B89" s="63"/>
      <c r="C89" s="63"/>
      <c r="D89" s="63"/>
      <c r="E89" s="63"/>
    </row>
    <row r="90" ht="12.75">
      <c r="A90" s="31"/>
    </row>
    <row r="91" spans="1:5" ht="45.75" customHeight="1">
      <c r="A91" s="58" t="s">
        <v>70</v>
      </c>
      <c r="B91" s="59"/>
      <c r="C91" s="59"/>
      <c r="D91" s="59"/>
      <c r="E91" s="59"/>
    </row>
    <row r="92" ht="15" customHeight="1">
      <c r="A92" s="32"/>
    </row>
    <row r="93" ht="15.75">
      <c r="A93" s="33" t="s">
        <v>91</v>
      </c>
    </row>
  </sheetData>
  <sheetProtection/>
  <mergeCells count="6">
    <mergeCell ref="A91:E91"/>
    <mergeCell ref="A1:E1"/>
    <mergeCell ref="A89:E89"/>
    <mergeCell ref="C6:E6"/>
    <mergeCell ref="A87:E87"/>
    <mergeCell ref="A86:B86"/>
  </mergeCells>
  <printOptions/>
  <pageMargins left="0.25" right="0.25" top="0.8" bottom="0.33" header="0.48" footer="0.21"/>
  <pageSetup fitToHeight="1" fitToWidth="1" horizontalDpi="600" verticalDpi="600" orientation="portrait" paperSize="5"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1">
      <selection activeCell="C19" sqref="C19"/>
    </sheetView>
  </sheetViews>
  <sheetFormatPr defaultColWidth="8.8515625" defaultRowHeight="12.75"/>
  <cols>
    <col min="1" max="1" width="2.8515625" style="0" customWidth="1"/>
    <col min="2" max="2" width="69.8515625" style="0" customWidth="1"/>
  </cols>
  <sheetData>
    <row r="1" spans="1:5" ht="18">
      <c r="A1" s="60" t="s">
        <v>71</v>
      </c>
      <c r="B1" s="61"/>
      <c r="C1" s="61"/>
      <c r="D1" s="61"/>
      <c r="E1" s="61"/>
    </row>
    <row r="2" ht="15.75">
      <c r="A2" s="2" t="s">
        <v>0</v>
      </c>
    </row>
    <row r="3" ht="15.75">
      <c r="A3" s="2" t="s">
        <v>1</v>
      </c>
    </row>
    <row r="4" ht="15.75">
      <c r="A4" s="44" t="str">
        <f>+'Jan '!A4</f>
        <v>YEAR: 1/1/2010 - 12/31/2010</v>
      </c>
    </row>
    <row r="5" ht="13.5" thickBot="1">
      <c r="A5" s="3"/>
    </row>
    <row r="6" spans="1:5" ht="13.5" thickBot="1">
      <c r="A6" s="4"/>
      <c r="B6" s="5" t="str">
        <f>+'Jan '!B6</f>
        <v>NAME OF ORGANIZATION:  Miami Dade Coalition</v>
      </c>
      <c r="C6" s="64" t="s">
        <v>73</v>
      </c>
      <c r="D6" s="65"/>
      <c r="E6" s="66"/>
    </row>
    <row r="7" spans="1:5" ht="12.75">
      <c r="A7" s="4"/>
      <c r="B7" s="6"/>
      <c r="C7" s="38" t="s">
        <v>2</v>
      </c>
      <c r="D7" s="7" t="s">
        <v>3</v>
      </c>
      <c r="E7" s="8" t="s">
        <v>4</v>
      </c>
    </row>
    <row r="8" spans="1:5" ht="12.75">
      <c r="A8" s="9" t="s">
        <v>5</v>
      </c>
      <c r="B8" s="10" t="s">
        <v>6</v>
      </c>
      <c r="C8" s="39">
        <f>+'Feb '!C85</f>
        <v>359</v>
      </c>
      <c r="D8" s="11">
        <f>+'Feb '!D85</f>
        <v>721</v>
      </c>
      <c r="E8" s="12">
        <f>SUM(C8:D8)</f>
        <v>1080</v>
      </c>
    </row>
    <row r="9" spans="1:5" ht="12.75">
      <c r="A9" s="9"/>
      <c r="B9" s="10"/>
      <c r="C9" s="40"/>
      <c r="D9" s="14"/>
      <c r="E9" s="12"/>
    </row>
    <row r="10" spans="1:5" ht="12.75">
      <c r="A10" s="9"/>
      <c r="B10" s="10" t="s">
        <v>7</v>
      </c>
      <c r="C10" s="40"/>
      <c r="D10" s="14"/>
      <c r="E10" s="15"/>
    </row>
    <row r="11" spans="1:5" ht="12.75">
      <c r="A11" s="9"/>
      <c r="B11" s="16" t="s">
        <v>8</v>
      </c>
      <c r="C11" s="40"/>
      <c r="D11" s="14"/>
      <c r="E11" s="15"/>
    </row>
    <row r="12" spans="1:5" ht="12.75">
      <c r="A12" s="9"/>
      <c r="B12" s="17" t="s">
        <v>9</v>
      </c>
      <c r="C12" s="40">
        <f>739+99+26</f>
        <v>864</v>
      </c>
      <c r="D12" s="14">
        <f>366+39+30</f>
        <v>435</v>
      </c>
      <c r="E12" s="15">
        <f>SUM(C12:D12)</f>
        <v>1299</v>
      </c>
    </row>
    <row r="13" spans="1:5" ht="12.75">
      <c r="A13" s="9"/>
      <c r="B13" s="17" t="s">
        <v>10</v>
      </c>
      <c r="C13" s="40">
        <f>110+1+13</f>
        <v>124</v>
      </c>
      <c r="D13" s="14">
        <v>185</v>
      </c>
      <c r="E13" s="15">
        <f>SUM(C13:D13)</f>
        <v>309</v>
      </c>
    </row>
    <row r="14" spans="1:5" ht="12.75">
      <c r="A14" s="9"/>
      <c r="B14" s="17" t="s">
        <v>11</v>
      </c>
      <c r="C14" s="40">
        <v>205</v>
      </c>
      <c r="D14" s="14">
        <v>183</v>
      </c>
      <c r="E14" s="15">
        <f>SUM(C14:D14)</f>
        <v>388</v>
      </c>
    </row>
    <row r="15" spans="1:5" ht="12.75">
      <c r="A15" s="9"/>
      <c r="B15" s="17" t="s">
        <v>12</v>
      </c>
      <c r="C15" s="40">
        <v>519</v>
      </c>
      <c r="D15" s="14">
        <v>181</v>
      </c>
      <c r="E15" s="15">
        <f>SUM(C15:D15)</f>
        <v>700</v>
      </c>
    </row>
    <row r="16" spans="1:5" ht="12.75">
      <c r="A16" s="9" t="s">
        <v>13</v>
      </c>
      <c r="B16" s="18" t="s">
        <v>14</v>
      </c>
      <c r="C16" s="50">
        <f>SUM(C12:C15)</f>
        <v>1712</v>
      </c>
      <c r="D16" s="11">
        <f>SUM(D12:D15)</f>
        <v>984</v>
      </c>
      <c r="E16" s="19">
        <f>SUM(C16:D16)</f>
        <v>2696</v>
      </c>
    </row>
    <row r="17" spans="1:5" ht="12.75">
      <c r="A17" s="9"/>
      <c r="B17" s="16" t="s">
        <v>15</v>
      </c>
      <c r="C17" s="40"/>
      <c r="D17" s="14"/>
      <c r="E17" s="15"/>
    </row>
    <row r="18" spans="1:5" ht="12.75">
      <c r="A18" s="9"/>
      <c r="B18" s="17" t="s">
        <v>9</v>
      </c>
      <c r="C18" s="40">
        <v>14</v>
      </c>
      <c r="D18" s="14">
        <v>14</v>
      </c>
      <c r="E18" s="15">
        <f>SUM(C18:D18)</f>
        <v>28</v>
      </c>
    </row>
    <row r="19" spans="1:5" ht="12.75">
      <c r="A19" s="9"/>
      <c r="B19" s="17" t="s">
        <v>10</v>
      </c>
      <c r="C19" s="40">
        <v>10</v>
      </c>
      <c r="D19" s="14"/>
      <c r="E19" s="15">
        <f>SUM(C19:D19)</f>
        <v>10</v>
      </c>
    </row>
    <row r="20" spans="1:5" ht="12.75">
      <c r="A20" s="9"/>
      <c r="B20" s="17" t="s">
        <v>11</v>
      </c>
      <c r="C20" s="40"/>
      <c r="D20" s="14"/>
      <c r="E20" s="15">
        <f>SUM(C20:D20)</f>
        <v>0</v>
      </c>
    </row>
    <row r="21" spans="1:5" ht="12.75">
      <c r="A21" s="9"/>
      <c r="B21" s="17" t="s">
        <v>12</v>
      </c>
      <c r="C21" s="40"/>
      <c r="D21" s="14"/>
      <c r="E21" s="15">
        <f>SUM(C21:D21)</f>
        <v>0</v>
      </c>
    </row>
    <row r="22" spans="1:5" ht="12.75">
      <c r="A22" s="9" t="s">
        <v>16</v>
      </c>
      <c r="B22" s="18" t="s">
        <v>95</v>
      </c>
      <c r="C22" s="50">
        <f>SUM(C17:C21)</f>
        <v>24</v>
      </c>
      <c r="D22" s="11">
        <f>SUM(D17:D21)</f>
        <v>14</v>
      </c>
      <c r="E22" s="19">
        <f>SUM(C22:D22)</f>
        <v>38</v>
      </c>
    </row>
    <row r="23" spans="1:5" ht="12.75">
      <c r="A23" s="9"/>
      <c r="B23" s="16" t="s">
        <v>18</v>
      </c>
      <c r="C23" s="40"/>
      <c r="D23" s="14"/>
      <c r="E23" s="15"/>
    </row>
    <row r="24" spans="1:5" ht="12.75">
      <c r="A24" s="9"/>
      <c r="B24" s="17" t="s">
        <v>9</v>
      </c>
      <c r="C24" s="40"/>
      <c r="D24" s="14">
        <v>26</v>
      </c>
      <c r="E24" s="15">
        <f>SUM(C24:D24)</f>
        <v>26</v>
      </c>
    </row>
    <row r="25" spans="1:5" ht="12.75">
      <c r="A25" s="9"/>
      <c r="B25" s="17" t="s">
        <v>10</v>
      </c>
      <c r="C25" s="40"/>
      <c r="D25" s="14"/>
      <c r="E25" s="15">
        <f>SUM(C25:D25)</f>
        <v>0</v>
      </c>
    </row>
    <row r="26" spans="1:5" ht="12.75">
      <c r="A26" s="9"/>
      <c r="B26" s="17" t="s">
        <v>11</v>
      </c>
      <c r="C26" s="40"/>
      <c r="D26" s="14"/>
      <c r="E26" s="15">
        <f>SUM(C26:D26)</f>
        <v>0</v>
      </c>
    </row>
    <row r="27" spans="1:5" ht="12.75">
      <c r="A27" s="9"/>
      <c r="B27" s="17" t="s">
        <v>12</v>
      </c>
      <c r="C27" s="40"/>
      <c r="D27" s="14"/>
      <c r="E27" s="15">
        <f>SUM(C27:D27)</f>
        <v>0</v>
      </c>
    </row>
    <row r="28" spans="1:5" ht="12.75">
      <c r="A28" s="9" t="s">
        <v>19</v>
      </c>
      <c r="B28" s="18" t="s">
        <v>96</v>
      </c>
      <c r="C28" s="39">
        <f>SUM(C24:C27)</f>
        <v>0</v>
      </c>
      <c r="D28" s="11">
        <f>SUM(D24:D27)</f>
        <v>26</v>
      </c>
      <c r="E28" s="19">
        <f>SUM(C28:D28)</f>
        <v>26</v>
      </c>
    </row>
    <row r="29" spans="1:5" ht="12.75">
      <c r="A29" s="9"/>
      <c r="B29" s="16" t="s">
        <v>21</v>
      </c>
      <c r="C29" s="40"/>
      <c r="D29" s="14"/>
      <c r="E29" s="15"/>
    </row>
    <row r="30" spans="1:5" ht="12.75">
      <c r="A30" s="9"/>
      <c r="B30" s="17" t="s">
        <v>9</v>
      </c>
      <c r="C30" s="40"/>
      <c r="D30" s="14"/>
      <c r="E30" s="15">
        <f aca="true" t="shared" si="0" ref="E30:E37">SUM(C30:D30)</f>
        <v>0</v>
      </c>
    </row>
    <row r="31" spans="1:5" ht="12.75">
      <c r="A31" s="9"/>
      <c r="B31" s="17" t="s">
        <v>10</v>
      </c>
      <c r="C31" s="40"/>
      <c r="D31" s="14"/>
      <c r="E31" s="15">
        <f t="shared" si="0"/>
        <v>0</v>
      </c>
    </row>
    <row r="32" spans="1:5" ht="12.75">
      <c r="A32" s="9"/>
      <c r="B32" s="17" t="s">
        <v>11</v>
      </c>
      <c r="C32" s="40"/>
      <c r="D32" s="14"/>
      <c r="E32" s="15">
        <f t="shared" si="0"/>
        <v>0</v>
      </c>
    </row>
    <row r="33" spans="1:5" ht="12.75">
      <c r="A33" s="9"/>
      <c r="B33" s="17" t="s">
        <v>12</v>
      </c>
      <c r="C33" s="40">
        <f>72+1</f>
        <v>73</v>
      </c>
      <c r="D33" s="14">
        <v>16</v>
      </c>
      <c r="E33" s="15">
        <f t="shared" si="0"/>
        <v>89</v>
      </c>
    </row>
    <row r="34" spans="1:5" ht="12.75">
      <c r="A34" s="9" t="s">
        <v>22</v>
      </c>
      <c r="B34" s="18" t="s">
        <v>23</v>
      </c>
      <c r="C34" s="39">
        <f>SUM(C30:C33)</f>
        <v>73</v>
      </c>
      <c r="D34" s="11">
        <f>SUM(D30:D33)</f>
        <v>16</v>
      </c>
      <c r="E34" s="19">
        <f t="shared" si="0"/>
        <v>89</v>
      </c>
    </row>
    <row r="35" spans="1:5" ht="15">
      <c r="A35" s="9" t="s">
        <v>24</v>
      </c>
      <c r="B35" s="46" t="s">
        <v>97</v>
      </c>
      <c r="C35" s="47">
        <f>C16+C22+C28+C34</f>
        <v>1809</v>
      </c>
      <c r="D35" s="48">
        <f>D16+D22+D28+D34</f>
        <v>1040</v>
      </c>
      <c r="E35" s="49">
        <f t="shared" si="0"/>
        <v>2849</v>
      </c>
    </row>
    <row r="36" spans="1:5" ht="12.75">
      <c r="A36" s="21" t="s">
        <v>26</v>
      </c>
      <c r="B36" s="22" t="s">
        <v>27</v>
      </c>
      <c r="C36" s="42">
        <f>+C33</f>
        <v>73</v>
      </c>
      <c r="D36" s="24">
        <f>+D33</f>
        <v>16</v>
      </c>
      <c r="E36" s="34">
        <f t="shared" si="0"/>
        <v>89</v>
      </c>
    </row>
    <row r="37" spans="1:5" ht="15">
      <c r="A37" s="9" t="s">
        <v>28</v>
      </c>
      <c r="B37" s="46" t="s">
        <v>98</v>
      </c>
      <c r="C37" s="47">
        <f>C35-C36</f>
        <v>1736</v>
      </c>
      <c r="D37" s="48">
        <f>D35-D36</f>
        <v>1024</v>
      </c>
      <c r="E37" s="49">
        <f t="shared" si="0"/>
        <v>2760</v>
      </c>
    </row>
    <row r="38" spans="1:5" ht="12.75">
      <c r="A38" s="9"/>
      <c r="B38" s="25"/>
      <c r="C38" s="40"/>
      <c r="D38" s="14"/>
      <c r="E38" s="15"/>
    </row>
    <row r="39" spans="1:5" ht="12.75">
      <c r="A39" s="9"/>
      <c r="B39" s="10" t="s">
        <v>30</v>
      </c>
      <c r="C39" s="40"/>
      <c r="D39" s="14"/>
      <c r="E39" s="15"/>
    </row>
    <row r="40" spans="1:5" ht="12.75">
      <c r="A40" s="9"/>
      <c r="B40" s="26" t="s">
        <v>31</v>
      </c>
      <c r="C40" s="40"/>
      <c r="D40" s="14"/>
      <c r="E40" s="15"/>
    </row>
    <row r="41" spans="1:5" ht="12.75">
      <c r="A41" s="9"/>
      <c r="B41" s="17" t="s">
        <v>9</v>
      </c>
      <c r="C41" s="40">
        <f>364+64</f>
        <v>428</v>
      </c>
      <c r="D41" s="14">
        <f>118+20</f>
        <v>138</v>
      </c>
      <c r="E41" s="15">
        <f>SUM(C41:D41)</f>
        <v>566</v>
      </c>
    </row>
    <row r="42" spans="1:5" ht="12.75">
      <c r="A42" s="9"/>
      <c r="B42" s="17" t="s">
        <v>10</v>
      </c>
      <c r="C42" s="40">
        <v>166</v>
      </c>
      <c r="D42" s="14">
        <v>10</v>
      </c>
      <c r="E42" s="15">
        <f>SUM(C42:D42)</f>
        <v>176</v>
      </c>
    </row>
    <row r="43" spans="1:5" ht="12.75">
      <c r="A43" s="9"/>
      <c r="B43" s="17" t="s">
        <v>11</v>
      </c>
      <c r="C43" s="40">
        <v>16</v>
      </c>
      <c r="D43" s="14">
        <v>3</v>
      </c>
      <c r="E43" s="15">
        <f>SUM(C43:D43)</f>
        <v>19</v>
      </c>
    </row>
    <row r="44" spans="1:5" ht="12.75">
      <c r="A44" s="9"/>
      <c r="B44" s="17" t="s">
        <v>12</v>
      </c>
      <c r="C44" s="40">
        <v>6</v>
      </c>
      <c r="D44" s="14">
        <v>0</v>
      </c>
      <c r="E44" s="15">
        <f>SUM(C44:D44)</f>
        <v>6</v>
      </c>
    </row>
    <row r="45" spans="1:5" ht="12.75">
      <c r="A45" s="9"/>
      <c r="B45" s="18" t="s">
        <v>99</v>
      </c>
      <c r="C45" s="50">
        <f>SUM(C41:C44)</f>
        <v>616</v>
      </c>
      <c r="D45" s="11">
        <f>SUM(D41:D44)</f>
        <v>151</v>
      </c>
      <c r="E45" s="19">
        <f>SUM(C45:D45)</f>
        <v>767</v>
      </c>
    </row>
    <row r="46" spans="1:5" ht="12.75">
      <c r="A46" s="9"/>
      <c r="B46" s="26" t="s">
        <v>33</v>
      </c>
      <c r="C46" s="40"/>
      <c r="D46" s="14"/>
      <c r="E46" s="15"/>
    </row>
    <row r="47" spans="1:5" ht="12.75">
      <c r="A47" s="9"/>
      <c r="B47" s="17" t="s">
        <v>9</v>
      </c>
      <c r="C47" s="40">
        <v>28</v>
      </c>
      <c r="D47" s="14">
        <f>31+1</f>
        <v>32</v>
      </c>
      <c r="E47" s="15">
        <f aca="true" t="shared" si="1" ref="E47:E52">SUM(C47:D47)</f>
        <v>60</v>
      </c>
    </row>
    <row r="48" spans="1:5" ht="12.75">
      <c r="A48" s="9"/>
      <c r="B48" s="17" t="s">
        <v>10</v>
      </c>
      <c r="C48" s="40">
        <v>14</v>
      </c>
      <c r="D48" s="14"/>
      <c r="E48" s="15">
        <f t="shared" si="1"/>
        <v>14</v>
      </c>
    </row>
    <row r="49" spans="1:5" ht="12.75">
      <c r="A49" s="9"/>
      <c r="B49" s="17" t="s">
        <v>11</v>
      </c>
      <c r="C49" s="40">
        <v>1</v>
      </c>
      <c r="D49" s="14"/>
      <c r="E49" s="15">
        <f t="shared" si="1"/>
        <v>1</v>
      </c>
    </row>
    <row r="50" spans="1:5" ht="12.75">
      <c r="A50" s="9"/>
      <c r="B50" s="17" t="s">
        <v>12</v>
      </c>
      <c r="C50" s="40"/>
      <c r="D50" s="14"/>
      <c r="E50" s="15">
        <f t="shared" si="1"/>
        <v>0</v>
      </c>
    </row>
    <row r="51" spans="1:5" ht="24">
      <c r="A51" s="9"/>
      <c r="B51" s="18" t="s">
        <v>100</v>
      </c>
      <c r="C51" s="50">
        <f>SUM(C47:C50)</f>
        <v>43</v>
      </c>
      <c r="D51" s="11">
        <f>SUM(D47:D50)</f>
        <v>32</v>
      </c>
      <c r="E51" s="19">
        <f t="shared" si="1"/>
        <v>75</v>
      </c>
    </row>
    <row r="52" spans="1:5" ht="12.75">
      <c r="A52" s="54" t="s">
        <v>35</v>
      </c>
      <c r="B52" s="55" t="s">
        <v>36</v>
      </c>
      <c r="C52" s="51">
        <f>+C51+C45</f>
        <v>659</v>
      </c>
      <c r="D52" s="20">
        <f>+D51+D45</f>
        <v>183</v>
      </c>
      <c r="E52" s="12">
        <f t="shared" si="1"/>
        <v>842</v>
      </c>
    </row>
    <row r="53" spans="1:5" ht="12.75">
      <c r="A53" s="9"/>
      <c r="B53" s="10"/>
      <c r="C53" s="40"/>
      <c r="D53" s="14"/>
      <c r="E53" s="15"/>
    </row>
    <row r="54" spans="1:5" ht="12.75">
      <c r="A54" s="9"/>
      <c r="B54" s="10" t="s">
        <v>37</v>
      </c>
      <c r="C54" s="40"/>
      <c r="D54" s="14"/>
      <c r="E54" s="15"/>
    </row>
    <row r="55" spans="1:5" ht="12.75">
      <c r="A55" s="9"/>
      <c r="B55" s="17" t="s">
        <v>9</v>
      </c>
      <c r="C55" s="40">
        <v>14</v>
      </c>
      <c r="D55" s="14">
        <v>14</v>
      </c>
      <c r="E55" s="15">
        <f>SUM(C55:D55)</f>
        <v>28</v>
      </c>
    </row>
    <row r="56" spans="1:5" ht="12.75">
      <c r="A56" s="9"/>
      <c r="B56" s="17" t="s">
        <v>10</v>
      </c>
      <c r="C56" s="40">
        <v>10</v>
      </c>
      <c r="D56" s="14"/>
      <c r="E56" s="15">
        <f>SUM(C56:D56)</f>
        <v>10</v>
      </c>
    </row>
    <row r="57" spans="1:5" ht="12.75">
      <c r="A57" s="9"/>
      <c r="B57" s="17" t="s">
        <v>11</v>
      </c>
      <c r="C57" s="40"/>
      <c r="D57" s="14"/>
      <c r="E57" s="15">
        <f>SUM(C57:D57)</f>
        <v>0</v>
      </c>
    </row>
    <row r="58" spans="1:5" ht="12.75">
      <c r="A58" s="9"/>
      <c r="B58" s="17" t="s">
        <v>12</v>
      </c>
      <c r="C58" s="40"/>
      <c r="D58" s="14"/>
      <c r="E58" s="15">
        <f>SUM(C58:D58)</f>
        <v>0</v>
      </c>
    </row>
    <row r="59" spans="1:5" ht="12.75">
      <c r="A59" s="54" t="s">
        <v>38</v>
      </c>
      <c r="B59" s="57" t="s">
        <v>101</v>
      </c>
      <c r="C59" s="41">
        <f>SUM(C55:C58)</f>
        <v>24</v>
      </c>
      <c r="D59" s="20">
        <f>SUM(D55:D58)</f>
        <v>14</v>
      </c>
      <c r="E59" s="12">
        <f>SUM(C59:D59)</f>
        <v>38</v>
      </c>
    </row>
    <row r="60" spans="1:5" ht="12.75">
      <c r="A60" s="9"/>
      <c r="B60" s="10"/>
      <c r="C60" s="40"/>
      <c r="D60" s="14"/>
      <c r="E60" s="15"/>
    </row>
    <row r="61" spans="1:5" ht="12.75">
      <c r="A61" s="9"/>
      <c r="B61" s="10" t="s">
        <v>40</v>
      </c>
      <c r="C61" s="40"/>
      <c r="D61" s="14"/>
      <c r="E61" s="15"/>
    </row>
    <row r="62" spans="1:5" ht="12.75">
      <c r="A62" s="9"/>
      <c r="B62" s="17" t="s">
        <v>9</v>
      </c>
      <c r="C62" s="40">
        <v>296</v>
      </c>
      <c r="D62" s="14">
        <f>60+26</f>
        <v>86</v>
      </c>
      <c r="E62" s="15">
        <f>SUM(C62:D62)</f>
        <v>382</v>
      </c>
    </row>
    <row r="63" spans="1:5" ht="12.75">
      <c r="A63" s="9"/>
      <c r="B63" s="17" t="s">
        <v>10</v>
      </c>
      <c r="C63" s="40">
        <v>17</v>
      </c>
      <c r="D63" s="14">
        <v>2</v>
      </c>
      <c r="E63" s="15">
        <f>SUM(C63:D63)</f>
        <v>19</v>
      </c>
    </row>
    <row r="64" spans="1:5" ht="12.75">
      <c r="A64" s="9"/>
      <c r="B64" s="17" t="s">
        <v>11</v>
      </c>
      <c r="C64" s="40">
        <v>3</v>
      </c>
      <c r="D64" s="14">
        <v>0</v>
      </c>
      <c r="E64" s="15">
        <f>SUM(C64:D64)</f>
        <v>3</v>
      </c>
    </row>
    <row r="65" spans="1:5" ht="12.75">
      <c r="A65" s="9"/>
      <c r="B65" s="17" t="s">
        <v>12</v>
      </c>
      <c r="C65" s="40">
        <v>6</v>
      </c>
      <c r="D65" s="14">
        <v>0</v>
      </c>
      <c r="E65" s="15">
        <f>SUM(C65:D65)</f>
        <v>6</v>
      </c>
    </row>
    <row r="66" spans="1:5" ht="12.75">
      <c r="A66" s="54" t="s">
        <v>41</v>
      </c>
      <c r="B66" s="57" t="s">
        <v>102</v>
      </c>
      <c r="C66" s="41">
        <f>SUM(C62:C65)</f>
        <v>322</v>
      </c>
      <c r="D66" s="20">
        <f>SUM(D62:D65)</f>
        <v>88</v>
      </c>
      <c r="E66" s="12">
        <f>SUM(C66:D66)</f>
        <v>410</v>
      </c>
    </row>
    <row r="67" spans="1:5" ht="12.75">
      <c r="A67" s="9"/>
      <c r="B67" s="10"/>
      <c r="C67" s="40"/>
      <c r="D67" s="14"/>
      <c r="E67" s="15"/>
    </row>
    <row r="68" spans="1:5" ht="12.75">
      <c r="A68" s="9" t="s">
        <v>43</v>
      </c>
      <c r="B68" s="10" t="s">
        <v>44</v>
      </c>
      <c r="C68" s="41">
        <f>110+2+1</f>
        <v>113</v>
      </c>
      <c r="D68" s="20">
        <v>3</v>
      </c>
      <c r="E68" s="12">
        <f>SUM(C68:D68)</f>
        <v>116</v>
      </c>
    </row>
    <row r="69" spans="1:5" ht="12.75">
      <c r="A69" s="9"/>
      <c r="B69" s="10"/>
      <c r="C69" s="40"/>
      <c r="D69" s="14"/>
      <c r="E69" s="15"/>
    </row>
    <row r="70" spans="1:5" ht="12.75">
      <c r="A70" s="9"/>
      <c r="B70" s="10" t="s">
        <v>45</v>
      </c>
      <c r="C70" s="40"/>
      <c r="D70" s="14"/>
      <c r="E70" s="15"/>
    </row>
    <row r="71" spans="1:5" ht="12.75">
      <c r="A71" s="9" t="s">
        <v>46</v>
      </c>
      <c r="B71" s="25" t="s">
        <v>47</v>
      </c>
      <c r="C71" s="40">
        <v>20</v>
      </c>
      <c r="D71" s="14">
        <v>22</v>
      </c>
      <c r="E71" s="15">
        <f aca="true" t="shared" si="2" ref="E71:E77">SUM(C71:D71)</f>
        <v>42</v>
      </c>
    </row>
    <row r="72" spans="1:5" ht="12.75">
      <c r="A72" s="9" t="s">
        <v>48</v>
      </c>
      <c r="B72" s="25" t="s">
        <v>49</v>
      </c>
      <c r="C72" s="40">
        <v>124</v>
      </c>
      <c r="D72" s="14">
        <v>115</v>
      </c>
      <c r="E72" s="15">
        <f t="shared" si="2"/>
        <v>239</v>
      </c>
    </row>
    <row r="73" spans="1:5" ht="12.75">
      <c r="A73" s="9" t="s">
        <v>50</v>
      </c>
      <c r="B73" s="25" t="s">
        <v>51</v>
      </c>
      <c r="C73" s="40">
        <v>93</v>
      </c>
      <c r="D73" s="14">
        <v>144</v>
      </c>
      <c r="E73" s="15">
        <f t="shared" si="2"/>
        <v>237</v>
      </c>
    </row>
    <row r="74" spans="1:5" ht="12.75">
      <c r="A74" s="9" t="s">
        <v>52</v>
      </c>
      <c r="B74" s="25" t="s">
        <v>53</v>
      </c>
      <c r="C74" s="40">
        <f>385+3</f>
        <v>388</v>
      </c>
      <c r="D74" s="14">
        <v>439</v>
      </c>
      <c r="E74" s="15">
        <f t="shared" si="2"/>
        <v>827</v>
      </c>
    </row>
    <row r="75" spans="1:5" ht="12.75">
      <c r="A75" s="9" t="s">
        <v>54</v>
      </c>
      <c r="B75" s="25" t="s">
        <v>55</v>
      </c>
      <c r="C75" s="41">
        <f>SUM(C71:C74)</f>
        <v>625</v>
      </c>
      <c r="D75" s="20">
        <f>SUM(D71:D74)</f>
        <v>720</v>
      </c>
      <c r="E75" s="12">
        <f t="shared" si="2"/>
        <v>1345</v>
      </c>
    </row>
    <row r="76" spans="1:5" ht="12.75">
      <c r="A76" s="21" t="s">
        <v>56</v>
      </c>
      <c r="B76" s="22" t="s">
        <v>27</v>
      </c>
      <c r="C76" s="42">
        <f>+C36</f>
        <v>73</v>
      </c>
      <c r="D76" s="24">
        <f>+D36</f>
        <v>16</v>
      </c>
      <c r="E76" s="34">
        <f t="shared" si="2"/>
        <v>89</v>
      </c>
    </row>
    <row r="77" spans="1:5" ht="12.75">
      <c r="A77" s="9" t="s">
        <v>57</v>
      </c>
      <c r="B77" s="10" t="s">
        <v>58</v>
      </c>
      <c r="C77" s="41">
        <f>C75-C76</f>
        <v>552</v>
      </c>
      <c r="D77" s="20">
        <f>D75-D76</f>
        <v>704</v>
      </c>
      <c r="E77" s="12">
        <f t="shared" si="2"/>
        <v>1256</v>
      </c>
    </row>
    <row r="78" spans="1:5" ht="12.75">
      <c r="A78" s="9"/>
      <c r="B78" s="10"/>
      <c r="C78" s="40"/>
      <c r="D78" s="14"/>
      <c r="E78" s="15"/>
    </row>
    <row r="79" spans="1:5" ht="24">
      <c r="A79" s="9" t="s">
        <v>59</v>
      </c>
      <c r="B79" s="10" t="s">
        <v>60</v>
      </c>
      <c r="C79" s="41">
        <f>C52+C59+C66+C68+C77</f>
        <v>1670</v>
      </c>
      <c r="D79" s="20">
        <f>D52+D59+D66+D68+D77</f>
        <v>992</v>
      </c>
      <c r="E79" s="12">
        <f>SUM(C79:D79)</f>
        <v>2662</v>
      </c>
    </row>
    <row r="80" spans="1:5" ht="12.75">
      <c r="A80" s="9"/>
      <c r="B80" s="27"/>
      <c r="C80" s="40"/>
      <c r="D80" s="14"/>
      <c r="E80" s="15"/>
    </row>
    <row r="81" spans="1:5" ht="12.75">
      <c r="A81" s="9" t="s">
        <v>61</v>
      </c>
      <c r="B81" s="10" t="s">
        <v>62</v>
      </c>
      <c r="C81" s="41">
        <f>21+1</f>
        <v>22</v>
      </c>
      <c r="D81" s="20">
        <f>8+4</f>
        <v>12</v>
      </c>
      <c r="E81" s="12">
        <f>SUM(C81:D81)</f>
        <v>34</v>
      </c>
    </row>
    <row r="82" spans="1:5" ht="12.75">
      <c r="A82" s="9"/>
      <c r="B82" s="27"/>
      <c r="C82" s="40"/>
      <c r="D82" s="14"/>
      <c r="E82" s="15"/>
    </row>
    <row r="83" spans="1:5" ht="24">
      <c r="A83" s="9" t="s">
        <v>63</v>
      </c>
      <c r="B83" s="10" t="s">
        <v>64</v>
      </c>
      <c r="C83" s="41">
        <f>C79+C81</f>
        <v>1692</v>
      </c>
      <c r="D83" s="20">
        <f>D79+D81</f>
        <v>1004</v>
      </c>
      <c r="E83" s="12">
        <f>SUM(C83:D83)</f>
        <v>2696</v>
      </c>
    </row>
    <row r="84" spans="1:5" ht="12.75">
      <c r="A84" s="9"/>
      <c r="B84" s="27"/>
      <c r="C84" s="40"/>
      <c r="D84" s="14"/>
      <c r="E84" s="15"/>
    </row>
    <row r="85" spans="1:5" ht="13.5" thickBot="1">
      <c r="A85" s="28" t="s">
        <v>65</v>
      </c>
      <c r="B85" s="29" t="s">
        <v>66</v>
      </c>
      <c r="C85" s="52">
        <f>+C8+C37-C83</f>
        <v>403</v>
      </c>
      <c r="D85" s="53">
        <f>+D8+D37-D83</f>
        <v>741</v>
      </c>
      <c r="E85" s="30">
        <f>SUM(C85:D85)</f>
        <v>1144</v>
      </c>
    </row>
    <row r="86" spans="1:5" ht="30" customHeight="1">
      <c r="A86" s="69" t="s">
        <v>67</v>
      </c>
      <c r="B86" s="70"/>
      <c r="C86" s="35">
        <f>(C8+C35)-(C76+C83)</f>
        <v>403</v>
      </c>
      <c r="D86" s="35">
        <f>(D8+D35)-(D76+D83)</f>
        <v>741</v>
      </c>
      <c r="E86" s="35">
        <f>(E8+E35)-(E76+E83)</f>
        <v>1144</v>
      </c>
    </row>
    <row r="87" spans="1:5" ht="42.75" customHeight="1">
      <c r="A87" s="67" t="s">
        <v>68</v>
      </c>
      <c r="B87" s="68"/>
      <c r="C87" s="68"/>
      <c r="D87" s="68"/>
      <c r="E87" s="68"/>
    </row>
    <row r="88" spans="1:5" ht="12.75">
      <c r="A88" s="36"/>
      <c r="B88" s="37"/>
      <c r="C88" s="37"/>
      <c r="D88" s="37"/>
      <c r="E88" s="37"/>
    </row>
    <row r="89" spans="1:5" ht="15" customHeight="1">
      <c r="A89" s="62" t="s">
        <v>69</v>
      </c>
      <c r="B89" s="63"/>
      <c r="C89" s="63"/>
      <c r="D89" s="63"/>
      <c r="E89" s="63"/>
    </row>
    <row r="90" ht="12.75">
      <c r="A90" s="31"/>
    </row>
    <row r="91" spans="1:5" ht="45.75" customHeight="1">
      <c r="A91" s="58" t="s">
        <v>70</v>
      </c>
      <c r="B91" s="59"/>
      <c r="C91" s="59"/>
      <c r="D91" s="59"/>
      <c r="E91" s="59"/>
    </row>
    <row r="92" ht="15" customHeight="1">
      <c r="A92" s="32"/>
    </row>
    <row r="93" ht="15.75">
      <c r="A93" s="33" t="s">
        <v>91</v>
      </c>
    </row>
  </sheetData>
  <sheetProtection/>
  <mergeCells count="6">
    <mergeCell ref="A91:E91"/>
    <mergeCell ref="A1:E1"/>
    <mergeCell ref="A89:E89"/>
    <mergeCell ref="C6:E6"/>
    <mergeCell ref="A87:E87"/>
    <mergeCell ref="A86:B86"/>
  </mergeCells>
  <printOptions/>
  <pageMargins left="0.25" right="0.25" top="0.8" bottom="0.33" header="0.48" footer="0.21"/>
  <pageSetup fitToHeight="1" fitToWidth="1" horizontalDpi="600" verticalDpi="600" orientation="portrait" paperSize="5" scale="8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1">
      <selection activeCell="H79" sqref="H79"/>
    </sheetView>
  </sheetViews>
  <sheetFormatPr defaultColWidth="8.8515625" defaultRowHeight="12.75"/>
  <cols>
    <col min="1" max="1" width="2.8515625" style="0" customWidth="1"/>
    <col min="2" max="2" width="69.8515625" style="0" customWidth="1"/>
  </cols>
  <sheetData>
    <row r="1" spans="1:5" ht="18">
      <c r="A1" s="60" t="s">
        <v>71</v>
      </c>
      <c r="B1" s="61"/>
      <c r="C1" s="61"/>
      <c r="D1" s="61"/>
      <c r="E1" s="61"/>
    </row>
    <row r="2" ht="15.75">
      <c r="A2" s="2" t="s">
        <v>0</v>
      </c>
    </row>
    <row r="3" ht="15.75">
      <c r="A3" s="2" t="s">
        <v>1</v>
      </c>
    </row>
    <row r="4" ht="15.75">
      <c r="A4" s="44" t="str">
        <f>+'Jan '!A4</f>
        <v>YEAR: 1/1/2010 - 12/31/2010</v>
      </c>
    </row>
    <row r="5" ht="13.5" thickBot="1">
      <c r="A5" s="3"/>
    </row>
    <row r="6" spans="1:5" ht="13.5" thickBot="1">
      <c r="A6" s="4"/>
      <c r="B6" s="5" t="str">
        <f>+'Jan '!B6</f>
        <v>NAME OF ORGANIZATION:  Miami Dade Coalition</v>
      </c>
      <c r="C6" s="71" t="s">
        <v>78</v>
      </c>
      <c r="D6" s="72"/>
      <c r="E6" s="73"/>
    </row>
    <row r="7" spans="1:5" ht="12.75">
      <c r="A7" s="4"/>
      <c r="B7" s="6"/>
      <c r="C7" s="38" t="s">
        <v>2</v>
      </c>
      <c r="D7" s="7" t="s">
        <v>3</v>
      </c>
      <c r="E7" s="8" t="s">
        <v>4</v>
      </c>
    </row>
    <row r="8" spans="1:5" ht="12.75">
      <c r="A8" s="9" t="s">
        <v>5</v>
      </c>
      <c r="B8" s="10" t="s">
        <v>6</v>
      </c>
      <c r="C8" s="39">
        <f>+'Jan '!C8</f>
        <v>370</v>
      </c>
      <c r="D8" s="11">
        <f>+'Jan '!D8</f>
        <v>770</v>
      </c>
      <c r="E8" s="12">
        <f>SUM(C8:D8)</f>
        <v>1140</v>
      </c>
    </row>
    <row r="9" spans="1:5" ht="12.75">
      <c r="A9" s="9"/>
      <c r="B9" s="10"/>
      <c r="C9" s="40"/>
      <c r="D9" s="14"/>
      <c r="E9" s="15"/>
    </row>
    <row r="10" spans="1:5" ht="12.75">
      <c r="A10" s="9"/>
      <c r="B10" s="10" t="s">
        <v>7</v>
      </c>
      <c r="C10" s="40"/>
      <c r="D10" s="14"/>
      <c r="E10" s="15"/>
    </row>
    <row r="11" spans="1:5" ht="12.75">
      <c r="A11" s="9"/>
      <c r="B11" s="16" t="s">
        <v>8</v>
      </c>
      <c r="C11" s="40"/>
      <c r="D11" s="14"/>
      <c r="E11" s="15"/>
    </row>
    <row r="12" spans="1:5" ht="12.75">
      <c r="A12" s="9"/>
      <c r="B12" s="17" t="s">
        <v>9</v>
      </c>
      <c r="C12" s="40">
        <f>SUM('Jan '!C12,'Feb '!C12,'Mar '!C12)</f>
        <v>2396</v>
      </c>
      <c r="D12" s="13">
        <f>SUM('Jan '!D12,'Feb '!D12,'Mar '!D12)</f>
        <v>1002</v>
      </c>
      <c r="E12" s="15">
        <f>SUM(C12:D12)</f>
        <v>3398</v>
      </c>
    </row>
    <row r="13" spans="1:5" ht="12.75">
      <c r="A13" s="9"/>
      <c r="B13" s="17" t="s">
        <v>10</v>
      </c>
      <c r="C13" s="40">
        <f>SUM('Jan '!C13,'Feb '!C13,'Mar '!C13)</f>
        <v>354</v>
      </c>
      <c r="D13" s="13">
        <f>SUM('Jan '!D13,'Feb '!D13,'Mar '!D13)</f>
        <v>429</v>
      </c>
      <c r="E13" s="15">
        <f>SUM(C13:D13)</f>
        <v>783</v>
      </c>
    </row>
    <row r="14" spans="1:5" ht="12.75">
      <c r="A14" s="9"/>
      <c r="B14" s="17" t="s">
        <v>11</v>
      </c>
      <c r="C14" s="40">
        <f>SUM('Jan '!C14,'Feb '!C14,'Mar '!C14)</f>
        <v>587</v>
      </c>
      <c r="D14" s="13">
        <f>SUM('Jan '!D14,'Feb '!D14,'Mar '!D14)</f>
        <v>429</v>
      </c>
      <c r="E14" s="15">
        <f>SUM(C14:D14)</f>
        <v>1016</v>
      </c>
    </row>
    <row r="15" spans="1:5" ht="12.75">
      <c r="A15" s="9"/>
      <c r="B15" s="17" t="s">
        <v>12</v>
      </c>
      <c r="C15" s="40">
        <f>SUM('Jan '!C15,'Feb '!C15,'Mar '!C15)</f>
        <v>1483</v>
      </c>
      <c r="D15" s="13">
        <f>SUM('Jan '!D15,'Feb '!D15,'Mar '!D15)</f>
        <v>429</v>
      </c>
      <c r="E15" s="15">
        <f>SUM(C15:D15)</f>
        <v>1912</v>
      </c>
    </row>
    <row r="16" spans="1:5" ht="12.75">
      <c r="A16" s="9" t="s">
        <v>13</v>
      </c>
      <c r="B16" s="18" t="s">
        <v>14</v>
      </c>
      <c r="C16" s="39">
        <f>SUM(C12:C15)</f>
        <v>4820</v>
      </c>
      <c r="D16" s="11">
        <f>SUM(D12:D15)</f>
        <v>2289</v>
      </c>
      <c r="E16" s="19">
        <f>SUM(C16:D16)</f>
        <v>7109</v>
      </c>
    </row>
    <row r="17" spans="1:5" ht="12.75">
      <c r="A17" s="9"/>
      <c r="B17" s="16" t="s">
        <v>15</v>
      </c>
      <c r="C17" s="40"/>
      <c r="D17" s="14"/>
      <c r="E17" s="15"/>
    </row>
    <row r="18" spans="1:5" ht="12.75">
      <c r="A18" s="9"/>
      <c r="B18" s="17" t="s">
        <v>9</v>
      </c>
      <c r="C18" s="40">
        <f>SUM('Jan '!C18,'Feb '!C18,'Mar '!C18)</f>
        <v>44</v>
      </c>
      <c r="D18" s="13">
        <f>SUM('Jan '!D18,'Feb '!D18,'Mar '!D18)</f>
        <v>15</v>
      </c>
      <c r="E18" s="15">
        <f>SUM(C18:D18)</f>
        <v>59</v>
      </c>
    </row>
    <row r="19" spans="1:5" ht="12.75">
      <c r="A19" s="9"/>
      <c r="B19" s="17" t="s">
        <v>10</v>
      </c>
      <c r="C19" s="40">
        <f>SUM('Jan '!C19,'Feb '!C19,'Mar '!C19)</f>
        <v>10</v>
      </c>
      <c r="D19" s="13">
        <f>SUM('Jan '!D19,'Feb '!D19,'Mar '!D19)</f>
        <v>0</v>
      </c>
      <c r="E19" s="15">
        <f>SUM(C19:D19)</f>
        <v>10</v>
      </c>
    </row>
    <row r="20" spans="1:5" ht="12.75">
      <c r="A20" s="9"/>
      <c r="B20" s="17" t="s">
        <v>11</v>
      </c>
      <c r="C20" s="40">
        <f>SUM('Jan '!C20,'Feb '!C20,'Mar '!C20)</f>
        <v>0</v>
      </c>
      <c r="D20" s="13">
        <f>SUM('Jan '!D20,'Feb '!D20,'Mar '!D20)</f>
        <v>0</v>
      </c>
      <c r="E20" s="15">
        <f>SUM(C20:D20)</f>
        <v>0</v>
      </c>
    </row>
    <row r="21" spans="1:5" ht="12.75">
      <c r="A21" s="9"/>
      <c r="B21" s="17" t="s">
        <v>12</v>
      </c>
      <c r="C21" s="40">
        <f>SUM('Jan '!C21,'Feb '!C21,'Mar '!C21)</f>
        <v>0</v>
      </c>
      <c r="D21" s="13">
        <f>SUM('Jan '!D21,'Feb '!D21,'Mar '!D21)</f>
        <v>0</v>
      </c>
      <c r="E21" s="15">
        <f>SUM(C21:D21)</f>
        <v>0</v>
      </c>
    </row>
    <row r="22" spans="1:5" ht="12.75">
      <c r="A22" s="9" t="s">
        <v>16</v>
      </c>
      <c r="B22" s="18" t="s">
        <v>17</v>
      </c>
      <c r="C22" s="39">
        <f>SUM(C18:C21)</f>
        <v>54</v>
      </c>
      <c r="D22" s="11">
        <f>SUM(D18:D21)</f>
        <v>15</v>
      </c>
      <c r="E22" s="19">
        <f>SUM(C22:D22)</f>
        <v>69</v>
      </c>
    </row>
    <row r="23" spans="1:5" ht="12.75">
      <c r="A23" s="9"/>
      <c r="B23" s="16" t="s">
        <v>18</v>
      </c>
      <c r="C23" s="40"/>
      <c r="D23" s="14"/>
      <c r="E23" s="15"/>
    </row>
    <row r="24" spans="1:5" ht="12.75">
      <c r="A24" s="9"/>
      <c r="B24" s="17" t="s">
        <v>9</v>
      </c>
      <c r="C24" s="40">
        <f>SUM('Jan '!C24,'Feb '!C24,'Mar '!C24)</f>
        <v>0</v>
      </c>
      <c r="D24" s="13">
        <f>SUM('Jan '!D24,'Feb '!D24,'Mar '!D24)</f>
        <v>26</v>
      </c>
      <c r="E24" s="15">
        <f>SUM(C24:D24)</f>
        <v>26</v>
      </c>
    </row>
    <row r="25" spans="1:5" ht="12.75">
      <c r="A25" s="9"/>
      <c r="B25" s="17" t="s">
        <v>10</v>
      </c>
      <c r="C25" s="40">
        <f>SUM('Jan '!C25,'Feb '!C25,'Mar '!C25)</f>
        <v>0</v>
      </c>
      <c r="D25" s="13">
        <f>SUM('Jan '!D25,'Feb '!D25,'Mar '!D25)</f>
        <v>0</v>
      </c>
      <c r="E25" s="15">
        <f>SUM(C25:D25)</f>
        <v>0</v>
      </c>
    </row>
    <row r="26" spans="1:5" ht="12.75">
      <c r="A26" s="9"/>
      <c r="B26" s="17" t="s">
        <v>11</v>
      </c>
      <c r="C26" s="40">
        <f>SUM('Jan '!C26,'Feb '!C26,'Mar '!C26)</f>
        <v>0</v>
      </c>
      <c r="D26" s="13">
        <f>SUM('Jan '!D26,'Feb '!D26,'Mar '!D26)</f>
        <v>0</v>
      </c>
      <c r="E26" s="15">
        <f>SUM(C26:D26)</f>
        <v>0</v>
      </c>
    </row>
    <row r="27" spans="1:5" ht="12.75">
      <c r="A27" s="9"/>
      <c r="B27" s="17" t="s">
        <v>12</v>
      </c>
      <c r="C27" s="40">
        <f>SUM('Jan '!C27,'Feb '!C27,'Mar '!C27)</f>
        <v>0</v>
      </c>
      <c r="D27" s="13">
        <f>SUM('Jan '!D27,'Feb '!D27,'Mar '!D27)</f>
        <v>0</v>
      </c>
      <c r="E27" s="15">
        <f>SUM(C27:D27)</f>
        <v>0</v>
      </c>
    </row>
    <row r="28" spans="1:5" ht="12.75">
      <c r="A28" s="9" t="s">
        <v>19</v>
      </c>
      <c r="B28" s="18" t="s">
        <v>20</v>
      </c>
      <c r="C28" s="39">
        <f>SUM(C24:C27)</f>
        <v>0</v>
      </c>
      <c r="D28" s="11">
        <f>SUM(D24:D27)</f>
        <v>26</v>
      </c>
      <c r="E28" s="19">
        <f>SUM(C28:D28)</f>
        <v>26</v>
      </c>
    </row>
    <row r="29" spans="1:5" ht="12.75">
      <c r="A29" s="9"/>
      <c r="B29" s="16" t="s">
        <v>21</v>
      </c>
      <c r="C29" s="40"/>
      <c r="D29" s="14"/>
      <c r="E29" s="15"/>
    </row>
    <row r="30" spans="1:5" ht="12.75">
      <c r="A30" s="9"/>
      <c r="B30" s="17" t="s">
        <v>9</v>
      </c>
      <c r="C30" s="40">
        <f>SUM('Jan '!C30,'Feb '!C30,'Mar '!C30)</f>
        <v>0</v>
      </c>
      <c r="D30" s="13">
        <f>SUM('Jan '!D30,'Feb '!D30,'Mar '!D30)</f>
        <v>0</v>
      </c>
      <c r="E30" s="15">
        <f aca="true" t="shared" si="0" ref="E30:E37">SUM(C30:D30)</f>
        <v>0</v>
      </c>
    </row>
    <row r="31" spans="1:5" ht="12.75">
      <c r="A31" s="9"/>
      <c r="B31" s="17" t="s">
        <v>10</v>
      </c>
      <c r="C31" s="40">
        <f>SUM('Jan '!C31,'Feb '!C31,'Mar '!C31)</f>
        <v>0</v>
      </c>
      <c r="D31" s="13">
        <f>SUM('Jan '!D31,'Feb '!D31,'Mar '!D31)</f>
        <v>0</v>
      </c>
      <c r="E31" s="15">
        <f t="shared" si="0"/>
        <v>0</v>
      </c>
    </row>
    <row r="32" spans="1:5" ht="12.75">
      <c r="A32" s="9"/>
      <c r="B32" s="17" t="s">
        <v>11</v>
      </c>
      <c r="C32" s="40">
        <f>SUM('Jan '!C32,'Feb '!C32,'Mar '!C32)</f>
        <v>0</v>
      </c>
      <c r="D32" s="13">
        <f>SUM('Jan '!D32,'Feb '!D32,'Mar '!D32)</f>
        <v>0</v>
      </c>
      <c r="E32" s="15">
        <f t="shared" si="0"/>
        <v>0</v>
      </c>
    </row>
    <row r="33" spans="1:5" ht="12.75">
      <c r="A33" s="9"/>
      <c r="B33" s="17" t="s">
        <v>12</v>
      </c>
      <c r="C33" s="40">
        <f>SUM('Jan '!C33,'Feb '!C33,'Mar '!C33)</f>
        <v>200</v>
      </c>
      <c r="D33" s="13">
        <f>SUM('Jan '!D33,'Feb '!D33,'Mar '!D33)</f>
        <v>33</v>
      </c>
      <c r="E33" s="15">
        <f t="shared" si="0"/>
        <v>233</v>
      </c>
    </row>
    <row r="34" spans="1:5" ht="12.75">
      <c r="A34" s="9" t="s">
        <v>22</v>
      </c>
      <c r="B34" s="18" t="s">
        <v>23</v>
      </c>
      <c r="C34" s="39">
        <f>SUM(C30:C33)</f>
        <v>200</v>
      </c>
      <c r="D34" s="11">
        <f>SUM(D30:D33)</f>
        <v>33</v>
      </c>
      <c r="E34" s="19">
        <f t="shared" si="0"/>
        <v>233</v>
      </c>
    </row>
    <row r="35" spans="1:5" ht="12.75">
      <c r="A35" s="9" t="s">
        <v>24</v>
      </c>
      <c r="B35" s="10" t="s">
        <v>25</v>
      </c>
      <c r="C35" s="41">
        <f>C16+C22+C28+C34</f>
        <v>5074</v>
      </c>
      <c r="D35" s="20">
        <f>D16+D22+D28+D34</f>
        <v>2363</v>
      </c>
      <c r="E35" s="12">
        <f t="shared" si="0"/>
        <v>7437</v>
      </c>
    </row>
    <row r="36" spans="1:5" ht="12.75">
      <c r="A36" s="21" t="s">
        <v>26</v>
      </c>
      <c r="B36" s="22" t="s">
        <v>27</v>
      </c>
      <c r="C36" s="42">
        <f>SUM('Jan '!C36,'Feb '!C36,'Mar '!C36)</f>
        <v>200</v>
      </c>
      <c r="D36" s="23">
        <f>SUM('Jan '!D36,'Feb '!D36,'Mar '!D36)</f>
        <v>33</v>
      </c>
      <c r="E36" s="34">
        <f t="shared" si="0"/>
        <v>233</v>
      </c>
    </row>
    <row r="37" spans="1:5" ht="12.75">
      <c r="A37" s="9" t="s">
        <v>28</v>
      </c>
      <c r="B37" s="10" t="s">
        <v>29</v>
      </c>
      <c r="C37" s="41">
        <f>C35-C36</f>
        <v>4874</v>
      </c>
      <c r="D37" s="20">
        <f>D35-D36</f>
        <v>2330</v>
      </c>
      <c r="E37" s="12">
        <f t="shared" si="0"/>
        <v>7204</v>
      </c>
    </row>
    <row r="38" spans="1:5" ht="12.75">
      <c r="A38" s="9"/>
      <c r="B38" s="25"/>
      <c r="C38" s="40"/>
      <c r="D38" s="14"/>
      <c r="E38" s="15"/>
    </row>
    <row r="39" spans="1:5" ht="12.75">
      <c r="A39" s="9"/>
      <c r="B39" s="10" t="s">
        <v>30</v>
      </c>
      <c r="C39" s="40"/>
      <c r="D39" s="14"/>
      <c r="E39" s="15"/>
    </row>
    <row r="40" spans="1:5" ht="12.75">
      <c r="A40" s="9"/>
      <c r="B40" s="26" t="s">
        <v>31</v>
      </c>
      <c r="C40" s="40"/>
      <c r="D40" s="14"/>
      <c r="E40" s="15"/>
    </row>
    <row r="41" spans="1:5" ht="12.75">
      <c r="A41" s="9"/>
      <c r="B41" s="17" t="s">
        <v>9</v>
      </c>
      <c r="C41" s="40">
        <f>SUM('Jan '!C41,'Feb '!C41,'Mar '!C41)</f>
        <v>1262</v>
      </c>
      <c r="D41" s="13">
        <f>SUM('Jan '!D41,'Feb '!D41,'Mar '!D41)</f>
        <v>440</v>
      </c>
      <c r="E41" s="15">
        <f>SUM(C41:D41)</f>
        <v>1702</v>
      </c>
    </row>
    <row r="42" spans="1:5" ht="12.75">
      <c r="A42" s="9"/>
      <c r="B42" s="17" t="s">
        <v>10</v>
      </c>
      <c r="C42" s="40">
        <f>SUM('Jan '!C42,'Feb '!C42,'Mar '!C42)</f>
        <v>475</v>
      </c>
      <c r="D42" s="13">
        <f>SUM('Jan '!D42,'Feb '!D42,'Mar '!D42)</f>
        <v>34</v>
      </c>
      <c r="E42" s="15">
        <f>SUM(C42:D42)</f>
        <v>509</v>
      </c>
    </row>
    <row r="43" spans="1:5" ht="12.75">
      <c r="A43" s="9"/>
      <c r="B43" s="17" t="s">
        <v>11</v>
      </c>
      <c r="C43" s="40">
        <f>SUM('Jan '!C43,'Feb '!C43,'Mar '!C43)</f>
        <v>46</v>
      </c>
      <c r="D43" s="13">
        <f>SUM('Jan '!D43,'Feb '!D43,'Mar '!D43)</f>
        <v>9</v>
      </c>
      <c r="E43" s="15">
        <f>SUM(C43:D43)</f>
        <v>55</v>
      </c>
    </row>
    <row r="44" spans="1:5" ht="12.75">
      <c r="A44" s="9"/>
      <c r="B44" s="17" t="s">
        <v>12</v>
      </c>
      <c r="C44" s="40">
        <f>SUM('Jan '!C44,'Feb '!C44,'Mar '!C44)</f>
        <v>17</v>
      </c>
      <c r="D44" s="13">
        <f>SUM('Jan '!D44,'Feb '!D44,'Mar '!D44)</f>
        <v>0</v>
      </c>
      <c r="E44" s="15">
        <f>SUM(C44:D44)</f>
        <v>17</v>
      </c>
    </row>
    <row r="45" spans="1:5" ht="12.75">
      <c r="A45" s="9"/>
      <c r="B45" s="18" t="s">
        <v>32</v>
      </c>
      <c r="C45" s="39">
        <f>SUM(C41:C44)</f>
        <v>1800</v>
      </c>
      <c r="D45" s="11">
        <f>SUM(D41:D44)</f>
        <v>483</v>
      </c>
      <c r="E45" s="19">
        <f>SUM(C45:D45)</f>
        <v>2283</v>
      </c>
    </row>
    <row r="46" spans="1:5" ht="12.75">
      <c r="A46" s="9"/>
      <c r="B46" s="26" t="s">
        <v>33</v>
      </c>
      <c r="C46" s="40"/>
      <c r="D46" s="14"/>
      <c r="E46" s="15"/>
    </row>
    <row r="47" spans="1:5" ht="12.75">
      <c r="A47" s="9"/>
      <c r="B47" s="17" t="s">
        <v>9</v>
      </c>
      <c r="C47" s="40">
        <f>SUM('Jan '!C47,'Feb '!C47,'Mar '!C47)</f>
        <v>70</v>
      </c>
      <c r="D47" s="13">
        <f>SUM('Jan '!D47,'Feb '!D47,'Mar '!D47)</f>
        <v>101</v>
      </c>
      <c r="E47" s="15">
        <f aca="true" t="shared" si="1" ref="E47:E52">SUM(C47:D47)</f>
        <v>171</v>
      </c>
    </row>
    <row r="48" spans="1:5" ht="12.75">
      <c r="A48" s="9"/>
      <c r="B48" s="17" t="s">
        <v>10</v>
      </c>
      <c r="C48" s="40">
        <f>SUM('Jan '!C48,'Feb '!C48,'Mar '!C48)</f>
        <v>34</v>
      </c>
      <c r="D48" s="13">
        <f>SUM('Jan '!D48,'Feb '!D48,'Mar '!D48)</f>
        <v>0</v>
      </c>
      <c r="E48" s="15">
        <f t="shared" si="1"/>
        <v>34</v>
      </c>
    </row>
    <row r="49" spans="1:5" ht="12.75">
      <c r="A49" s="9"/>
      <c r="B49" s="17" t="s">
        <v>11</v>
      </c>
      <c r="C49" s="40">
        <f>SUM('Jan '!C49,'Feb '!C49,'Mar '!C49)</f>
        <v>6</v>
      </c>
      <c r="D49" s="13">
        <f>SUM('Jan '!D49,'Feb '!D49,'Mar '!D49)</f>
        <v>0</v>
      </c>
      <c r="E49" s="15">
        <f t="shared" si="1"/>
        <v>6</v>
      </c>
    </row>
    <row r="50" spans="1:5" ht="12.75">
      <c r="A50" s="9"/>
      <c r="B50" s="17" t="s">
        <v>12</v>
      </c>
      <c r="C50" s="40">
        <f>SUM('Jan '!C50,'Feb '!C50,'Mar '!C50)</f>
        <v>0</v>
      </c>
      <c r="D50" s="13">
        <f>SUM('Jan '!D50,'Feb '!D50,'Mar '!D50)</f>
        <v>0</v>
      </c>
      <c r="E50" s="15">
        <f t="shared" si="1"/>
        <v>0</v>
      </c>
    </row>
    <row r="51" spans="1:5" ht="24">
      <c r="A51" s="9"/>
      <c r="B51" s="18" t="s">
        <v>34</v>
      </c>
      <c r="C51" s="39">
        <f>SUM(C47:C50)</f>
        <v>110</v>
      </c>
      <c r="D51" s="11">
        <f>SUM(D47:D50)</f>
        <v>101</v>
      </c>
      <c r="E51" s="19">
        <f t="shared" si="1"/>
        <v>211</v>
      </c>
    </row>
    <row r="52" spans="1:5" ht="12.75">
      <c r="A52" s="9" t="s">
        <v>35</v>
      </c>
      <c r="B52" s="18" t="s">
        <v>36</v>
      </c>
      <c r="C52" s="41">
        <f>C45+C51</f>
        <v>1910</v>
      </c>
      <c r="D52" s="20">
        <f>D45+D51</f>
        <v>584</v>
      </c>
      <c r="E52" s="12">
        <f t="shared" si="1"/>
        <v>2494</v>
      </c>
    </row>
    <row r="53" spans="1:5" ht="12.75">
      <c r="A53" s="9"/>
      <c r="B53" s="10"/>
      <c r="C53" s="40"/>
      <c r="D53" s="14"/>
      <c r="E53" s="15"/>
    </row>
    <row r="54" spans="1:5" ht="12.75">
      <c r="A54" s="9"/>
      <c r="B54" s="10" t="s">
        <v>37</v>
      </c>
      <c r="C54" s="40"/>
      <c r="D54" s="14"/>
      <c r="E54" s="15"/>
    </row>
    <row r="55" spans="1:5" ht="12.75">
      <c r="A55" s="9"/>
      <c r="B55" s="17" t="s">
        <v>9</v>
      </c>
      <c r="C55" s="40">
        <f>SUM('Jan '!C55,'Feb '!C55,'Mar '!C55)</f>
        <v>44</v>
      </c>
      <c r="D55" s="13">
        <f>SUM('Jan '!D55,'Feb '!D55,'Mar '!D55)</f>
        <v>15</v>
      </c>
      <c r="E55" s="15">
        <f>SUM(C55:D55)</f>
        <v>59</v>
      </c>
    </row>
    <row r="56" spans="1:5" ht="12.75">
      <c r="A56" s="9"/>
      <c r="B56" s="17" t="s">
        <v>10</v>
      </c>
      <c r="C56" s="40">
        <f>SUM('Jan '!C56,'Feb '!C56,'Mar '!C56)</f>
        <v>10</v>
      </c>
      <c r="D56" s="13">
        <f>SUM('Jan '!D56,'Feb '!D56,'Mar '!D56)</f>
        <v>0</v>
      </c>
      <c r="E56" s="15">
        <f>SUM(C56:D56)</f>
        <v>10</v>
      </c>
    </row>
    <row r="57" spans="1:5" ht="12.75">
      <c r="A57" s="9"/>
      <c r="B57" s="17" t="s">
        <v>11</v>
      </c>
      <c r="C57" s="40">
        <f>SUM('Jan '!C57,'Feb '!C57,'Mar '!C57)</f>
        <v>0</v>
      </c>
      <c r="D57" s="13">
        <f>SUM('Jan '!D57,'Feb '!D57,'Mar '!D57)</f>
        <v>0</v>
      </c>
      <c r="E57" s="15">
        <f>SUM(C57:D57)</f>
        <v>0</v>
      </c>
    </row>
    <row r="58" spans="1:5" ht="12.75">
      <c r="A58" s="9"/>
      <c r="B58" s="17" t="s">
        <v>12</v>
      </c>
      <c r="C58" s="40">
        <f>SUM('Jan '!C58,'Feb '!C58,'Mar '!C58)</f>
        <v>0</v>
      </c>
      <c r="D58" s="13">
        <f>SUM('Jan '!D58,'Feb '!D58,'Mar '!D58)</f>
        <v>0</v>
      </c>
      <c r="E58" s="15">
        <f>SUM(C58:D58)</f>
        <v>0</v>
      </c>
    </row>
    <row r="59" spans="1:5" ht="12.75">
      <c r="A59" s="9" t="s">
        <v>38</v>
      </c>
      <c r="B59" s="10" t="s">
        <v>39</v>
      </c>
      <c r="C59" s="41">
        <f>SUM(C55:C58)</f>
        <v>54</v>
      </c>
      <c r="D59" s="20">
        <f>SUM(D55:D58)</f>
        <v>15</v>
      </c>
      <c r="E59" s="12">
        <f>SUM(C59:D59)</f>
        <v>69</v>
      </c>
    </row>
    <row r="60" spans="1:5" ht="12.75">
      <c r="A60" s="9"/>
      <c r="B60" s="10"/>
      <c r="C60" s="40"/>
      <c r="D60" s="14"/>
      <c r="E60" s="15"/>
    </row>
    <row r="61" spans="1:5" ht="12.75">
      <c r="A61" s="9"/>
      <c r="B61" s="10" t="s">
        <v>40</v>
      </c>
      <c r="C61" s="40"/>
      <c r="D61" s="14"/>
      <c r="E61" s="15"/>
    </row>
    <row r="62" spans="1:5" ht="12.75">
      <c r="A62" s="9"/>
      <c r="B62" s="17" t="s">
        <v>9</v>
      </c>
      <c r="C62" s="40">
        <f>SUM('Jan '!C62,'Feb '!C62,'Mar '!C62)</f>
        <v>818</v>
      </c>
      <c r="D62" s="13">
        <f>SUM('Jan '!D62,'Feb '!D62,'Mar '!D62)</f>
        <v>156</v>
      </c>
      <c r="E62" s="15">
        <f>SUM(C62:D62)</f>
        <v>974</v>
      </c>
    </row>
    <row r="63" spans="1:5" ht="12.75">
      <c r="A63" s="9"/>
      <c r="B63" s="17" t="s">
        <v>10</v>
      </c>
      <c r="C63" s="40">
        <f>SUM('Jan '!C63,'Feb '!C63,'Mar '!C63)</f>
        <v>45</v>
      </c>
      <c r="D63" s="13">
        <f>SUM('Jan '!D63,'Feb '!D63,'Mar '!D63)</f>
        <v>4</v>
      </c>
      <c r="E63" s="15">
        <f>SUM(C63:D63)</f>
        <v>49</v>
      </c>
    </row>
    <row r="64" spans="1:5" ht="12.75">
      <c r="A64" s="9"/>
      <c r="B64" s="17" t="s">
        <v>11</v>
      </c>
      <c r="C64" s="40">
        <f>SUM('Jan '!C64,'Feb '!C64,'Mar '!C64)</f>
        <v>9</v>
      </c>
      <c r="D64" s="13">
        <f>SUM('Jan '!D64,'Feb '!D64,'Mar '!D64)</f>
        <v>0</v>
      </c>
      <c r="E64" s="15">
        <f>SUM(C64:D64)</f>
        <v>9</v>
      </c>
    </row>
    <row r="65" spans="1:5" ht="12.75">
      <c r="A65" s="9"/>
      <c r="B65" s="17" t="s">
        <v>12</v>
      </c>
      <c r="C65" s="40">
        <f>SUM('Jan '!C65,'Feb '!C65,'Mar '!C65)</f>
        <v>18</v>
      </c>
      <c r="D65" s="13">
        <f>SUM('Jan '!D65,'Feb '!D65,'Mar '!D65)</f>
        <v>0</v>
      </c>
      <c r="E65" s="15">
        <f>SUM(C65:D65)</f>
        <v>18</v>
      </c>
    </row>
    <row r="66" spans="1:5" ht="12.75">
      <c r="A66" s="9" t="s">
        <v>41</v>
      </c>
      <c r="B66" s="10" t="s">
        <v>42</v>
      </c>
      <c r="C66" s="41">
        <f>SUM(C62:C65)</f>
        <v>890</v>
      </c>
      <c r="D66" s="20">
        <f>SUM(D62:D65)</f>
        <v>160</v>
      </c>
      <c r="E66" s="12">
        <f>SUM(C66:D66)</f>
        <v>1050</v>
      </c>
    </row>
    <row r="67" spans="1:5" ht="12.75">
      <c r="A67" s="9"/>
      <c r="B67" s="10"/>
      <c r="C67" s="40"/>
      <c r="D67" s="14"/>
      <c r="E67" s="15"/>
    </row>
    <row r="68" spans="1:5" ht="12.75">
      <c r="A68" s="9" t="s">
        <v>43</v>
      </c>
      <c r="B68" s="10" t="s">
        <v>44</v>
      </c>
      <c r="C68" s="40">
        <f>SUM('Jan '!C68,'Feb '!C68,'Mar '!C68)</f>
        <v>365</v>
      </c>
      <c r="D68" s="13">
        <f>SUM('Jan '!D68,'Feb '!D68,'Mar '!D68)</f>
        <v>11</v>
      </c>
      <c r="E68" s="12">
        <f>SUM(C68:D68)</f>
        <v>376</v>
      </c>
    </row>
    <row r="69" spans="1:5" ht="12.75">
      <c r="A69" s="9"/>
      <c r="B69" s="10"/>
      <c r="C69" s="40"/>
      <c r="D69" s="14"/>
      <c r="E69" s="15"/>
    </row>
    <row r="70" spans="1:5" ht="12.75">
      <c r="A70" s="9"/>
      <c r="B70" s="10" t="s">
        <v>45</v>
      </c>
      <c r="C70" s="40"/>
      <c r="D70" s="14"/>
      <c r="E70" s="15"/>
    </row>
    <row r="71" spans="1:5" ht="12.75">
      <c r="A71" s="9" t="s">
        <v>46</v>
      </c>
      <c r="B71" s="25" t="s">
        <v>47</v>
      </c>
      <c r="C71" s="40">
        <f>SUM('Jan '!C71,'Feb '!C71,'Mar '!C71)</f>
        <v>54</v>
      </c>
      <c r="D71" s="13">
        <f>SUM('Jan '!D71,'Feb '!D71,'Mar '!D71)</f>
        <v>49</v>
      </c>
      <c r="E71" s="15">
        <f aca="true" t="shared" si="2" ref="E71:E77">SUM(C71:D71)</f>
        <v>103</v>
      </c>
    </row>
    <row r="72" spans="1:5" ht="12.75">
      <c r="A72" s="9" t="s">
        <v>48</v>
      </c>
      <c r="B72" s="25" t="s">
        <v>49</v>
      </c>
      <c r="C72" s="40">
        <f>SUM('Jan '!C72,'Feb '!C72,'Mar '!C72)</f>
        <v>348</v>
      </c>
      <c r="D72" s="13">
        <f>SUM('Jan '!D72,'Feb '!D72,'Mar '!D72)</f>
        <v>256</v>
      </c>
      <c r="E72" s="15">
        <f t="shared" si="2"/>
        <v>604</v>
      </c>
    </row>
    <row r="73" spans="1:5" ht="12.75">
      <c r="A73" s="9" t="s">
        <v>50</v>
      </c>
      <c r="B73" s="25" t="s">
        <v>51</v>
      </c>
      <c r="C73" s="40">
        <f>SUM('Jan '!C73,'Feb '!C73,'Mar '!C73)</f>
        <v>260</v>
      </c>
      <c r="D73" s="13">
        <f>SUM('Jan '!D73,'Feb '!D73,'Mar '!D73)</f>
        <v>320</v>
      </c>
      <c r="E73" s="15">
        <f t="shared" si="2"/>
        <v>580</v>
      </c>
    </row>
    <row r="74" spans="1:5" ht="12.75">
      <c r="A74" s="9" t="s">
        <v>52</v>
      </c>
      <c r="B74" s="25" t="s">
        <v>53</v>
      </c>
      <c r="C74" s="40">
        <f>SUM('Jan '!C74,'Feb '!C74,'Mar '!C74)</f>
        <v>1112</v>
      </c>
      <c r="D74" s="13">
        <f>SUM('Jan '!D74,'Feb '!D74,'Mar '!D74)</f>
        <v>980</v>
      </c>
      <c r="E74" s="15">
        <f t="shared" si="2"/>
        <v>2092</v>
      </c>
    </row>
    <row r="75" spans="1:5" ht="12.75">
      <c r="A75" s="9" t="s">
        <v>54</v>
      </c>
      <c r="B75" s="25" t="s">
        <v>55</v>
      </c>
      <c r="C75" s="41">
        <f>SUM(C71:C74)</f>
        <v>1774</v>
      </c>
      <c r="D75" s="20">
        <f>SUM(D71:D74)</f>
        <v>1605</v>
      </c>
      <c r="E75" s="12">
        <f t="shared" si="2"/>
        <v>3379</v>
      </c>
    </row>
    <row r="76" spans="1:5" ht="12.75">
      <c r="A76" s="21" t="s">
        <v>56</v>
      </c>
      <c r="B76" s="22" t="s">
        <v>27</v>
      </c>
      <c r="C76" s="42">
        <f>SUM('Jan '!C76,'Feb '!C76,'Mar '!C76)</f>
        <v>200</v>
      </c>
      <c r="D76" s="23">
        <f>SUM('Jan '!D76,'Feb '!D76,'Mar '!D76)</f>
        <v>33</v>
      </c>
      <c r="E76" s="34">
        <f t="shared" si="2"/>
        <v>233</v>
      </c>
    </row>
    <row r="77" spans="1:5" ht="12.75">
      <c r="A77" s="9" t="s">
        <v>57</v>
      </c>
      <c r="B77" s="10" t="s">
        <v>58</v>
      </c>
      <c r="C77" s="41">
        <f>C75-C76</f>
        <v>1574</v>
      </c>
      <c r="D77" s="20">
        <f>D75-D76</f>
        <v>1572</v>
      </c>
      <c r="E77" s="12">
        <f t="shared" si="2"/>
        <v>3146</v>
      </c>
    </row>
    <row r="78" spans="1:5" ht="12.75">
      <c r="A78" s="9"/>
      <c r="B78" s="10"/>
      <c r="C78" s="40"/>
      <c r="D78" s="14"/>
      <c r="E78" s="15"/>
    </row>
    <row r="79" spans="1:5" ht="24">
      <c r="A79" s="9" t="s">
        <v>59</v>
      </c>
      <c r="B79" s="10" t="s">
        <v>60</v>
      </c>
      <c r="C79" s="41">
        <f>C52+C59+C66+C68+C77</f>
        <v>4793</v>
      </c>
      <c r="D79" s="20">
        <f>D52+D59+D66+D68+D77</f>
        <v>2342</v>
      </c>
      <c r="E79" s="12">
        <f>SUM(C79:D79)</f>
        <v>7135</v>
      </c>
    </row>
    <row r="80" spans="1:5" ht="12.75">
      <c r="A80" s="9"/>
      <c r="B80" s="27"/>
      <c r="C80" s="40"/>
      <c r="D80" s="14"/>
      <c r="E80" s="15"/>
    </row>
    <row r="81" spans="1:5" ht="12.75">
      <c r="A81" s="9" t="s">
        <v>61</v>
      </c>
      <c r="B81" s="10" t="s">
        <v>62</v>
      </c>
      <c r="C81" s="40">
        <f>SUM('Jan '!C81,'Feb '!C81,'Mar '!C81)</f>
        <v>48</v>
      </c>
      <c r="D81" s="13">
        <f>SUM('Jan '!D81,'Feb '!D81,'Mar '!D81)</f>
        <v>17</v>
      </c>
      <c r="E81" s="12">
        <f>SUM(C81:D81)</f>
        <v>65</v>
      </c>
    </row>
    <row r="82" spans="1:5" ht="12.75">
      <c r="A82" s="9"/>
      <c r="B82" s="27"/>
      <c r="C82" s="40"/>
      <c r="D82" s="14"/>
      <c r="E82" s="15"/>
    </row>
    <row r="83" spans="1:5" ht="24">
      <c r="A83" s="9" t="s">
        <v>63</v>
      </c>
      <c r="B83" s="10" t="s">
        <v>64</v>
      </c>
      <c r="C83" s="41">
        <f>C79+C81</f>
        <v>4841</v>
      </c>
      <c r="D83" s="20">
        <f>D79+D81</f>
        <v>2359</v>
      </c>
      <c r="E83" s="12">
        <f>SUM(C83:D83)</f>
        <v>7200</v>
      </c>
    </row>
    <row r="84" spans="1:5" ht="12.75">
      <c r="A84" s="9"/>
      <c r="B84" s="27"/>
      <c r="C84" s="40"/>
      <c r="D84" s="14"/>
      <c r="E84" s="15"/>
    </row>
    <row r="85" spans="1:5" ht="13.5" thickBot="1">
      <c r="A85" s="28" t="s">
        <v>65</v>
      </c>
      <c r="B85" s="29" t="s">
        <v>66</v>
      </c>
      <c r="C85" s="43">
        <f>+C8+C37-C83</f>
        <v>403</v>
      </c>
      <c r="D85" s="43">
        <f>+D8+D37-D83</f>
        <v>741</v>
      </c>
      <c r="E85" s="30">
        <f>SUM(C85:D85)</f>
        <v>1144</v>
      </c>
    </row>
    <row r="86" spans="1:5" ht="30" customHeight="1">
      <c r="A86" s="69" t="s">
        <v>67</v>
      </c>
      <c r="B86" s="70"/>
      <c r="C86" s="35">
        <f>(C8+C35)-(C76+C83)</f>
        <v>403</v>
      </c>
      <c r="D86" s="35">
        <f>(D8+D35)-(D76+D83)</f>
        <v>741</v>
      </c>
      <c r="E86" s="35">
        <f>(E8+E35)-(E76+E83)</f>
        <v>1144</v>
      </c>
    </row>
    <row r="87" spans="1:5" ht="42.75" customHeight="1">
      <c r="A87" s="67" t="s">
        <v>68</v>
      </c>
      <c r="B87" s="68"/>
      <c r="C87" s="68"/>
      <c r="D87" s="68"/>
      <c r="E87" s="68"/>
    </row>
    <row r="88" spans="1:5" ht="12.75">
      <c r="A88" s="36"/>
      <c r="B88" s="37"/>
      <c r="C88" s="37"/>
      <c r="D88" s="37"/>
      <c r="E88" s="37"/>
    </row>
    <row r="89" spans="1:5" ht="15" customHeight="1">
      <c r="A89" s="62" t="s">
        <v>69</v>
      </c>
      <c r="B89" s="63"/>
      <c r="C89" s="63"/>
      <c r="D89" s="63"/>
      <c r="E89" s="63"/>
    </row>
    <row r="90" ht="12.75">
      <c r="A90" s="31"/>
    </row>
    <row r="91" spans="1:5" ht="45.75" customHeight="1">
      <c r="A91" s="58" t="s">
        <v>70</v>
      </c>
      <c r="B91" s="59"/>
      <c r="C91" s="59"/>
      <c r="D91" s="59"/>
      <c r="E91" s="59"/>
    </row>
    <row r="92" ht="15" customHeight="1">
      <c r="A92" s="32"/>
    </row>
    <row r="93" ht="15.75">
      <c r="A93" s="33" t="s">
        <v>93</v>
      </c>
    </row>
  </sheetData>
  <sheetProtection/>
  <mergeCells count="6">
    <mergeCell ref="A91:E91"/>
    <mergeCell ref="A1:E1"/>
    <mergeCell ref="A89:E89"/>
    <mergeCell ref="C6:E6"/>
    <mergeCell ref="A87:E87"/>
    <mergeCell ref="A86:B86"/>
  </mergeCells>
  <printOptions/>
  <pageMargins left="0.25" right="0.25" top="0.8" bottom="0.33" header="0.48" footer="0.21"/>
  <pageSetup fitToHeight="1" fitToWidth="1" horizontalDpi="600" verticalDpi="600" orientation="portrait" paperSize="5" scale="8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3">
      <selection activeCell="C62" sqref="C62"/>
    </sheetView>
  </sheetViews>
  <sheetFormatPr defaultColWidth="8.8515625" defaultRowHeight="12.75"/>
  <cols>
    <col min="1" max="1" width="2.8515625" style="0" customWidth="1"/>
    <col min="2" max="2" width="69.8515625" style="0" customWidth="1"/>
  </cols>
  <sheetData>
    <row r="1" spans="1:5" ht="18">
      <c r="A1" s="60" t="s">
        <v>71</v>
      </c>
      <c r="B1" s="61"/>
      <c r="C1" s="61"/>
      <c r="D1" s="61"/>
      <c r="E1" s="61"/>
    </row>
    <row r="2" ht="15.75">
      <c r="A2" s="2" t="s">
        <v>0</v>
      </c>
    </row>
    <row r="3" ht="15.75">
      <c r="A3" s="2" t="s">
        <v>1</v>
      </c>
    </row>
    <row r="4" ht="15.75">
      <c r="A4" s="44" t="str">
        <f>+'Jan '!A4</f>
        <v>YEAR: 1/1/2010 - 12/31/2010</v>
      </c>
    </row>
    <row r="5" ht="13.5" thickBot="1">
      <c r="A5" s="3"/>
    </row>
    <row r="6" spans="1:5" ht="13.5" thickBot="1">
      <c r="A6" s="4"/>
      <c r="B6" s="5" t="str">
        <f>+'Jan '!B6</f>
        <v>NAME OF ORGANIZATION:  Miami Dade Coalition</v>
      </c>
      <c r="C6" s="64" t="s">
        <v>74</v>
      </c>
      <c r="D6" s="65"/>
      <c r="E6" s="66"/>
    </row>
    <row r="7" spans="1:5" ht="12.75">
      <c r="A7" s="4"/>
      <c r="B7" s="6"/>
      <c r="C7" s="38" t="s">
        <v>2</v>
      </c>
      <c r="D7" s="7" t="s">
        <v>3</v>
      </c>
      <c r="E7" s="8" t="s">
        <v>4</v>
      </c>
    </row>
    <row r="8" spans="1:5" ht="12.75">
      <c r="A8" s="9" t="s">
        <v>5</v>
      </c>
      <c r="B8" s="10" t="s">
        <v>6</v>
      </c>
      <c r="C8" s="39">
        <f>+'Mar '!C85</f>
        <v>403</v>
      </c>
      <c r="D8" s="11">
        <f>+'Mar '!D85</f>
        <v>741</v>
      </c>
      <c r="E8" s="12">
        <f>SUM(C8:D8)</f>
        <v>1144</v>
      </c>
    </row>
    <row r="9" spans="1:5" ht="12.75">
      <c r="A9" s="9"/>
      <c r="B9" s="10"/>
      <c r="C9" s="40"/>
      <c r="D9" s="14"/>
      <c r="E9" s="12"/>
    </row>
    <row r="10" spans="1:5" ht="12.75">
      <c r="A10" s="9"/>
      <c r="B10" s="10" t="s">
        <v>7</v>
      </c>
      <c r="C10" s="40"/>
      <c r="D10" s="14"/>
      <c r="E10" s="15"/>
    </row>
    <row r="11" spans="1:5" ht="12.75">
      <c r="A11" s="9"/>
      <c r="B11" s="16" t="s">
        <v>8</v>
      </c>
      <c r="C11" s="40"/>
      <c r="D11" s="14"/>
      <c r="E11" s="15"/>
    </row>
    <row r="12" spans="1:5" ht="12.75">
      <c r="A12" s="9"/>
      <c r="B12" s="17" t="s">
        <v>9</v>
      </c>
      <c r="C12" s="40">
        <f>722+44+29</f>
        <v>795</v>
      </c>
      <c r="D12" s="14">
        <f>524+32+35</f>
        <v>591</v>
      </c>
      <c r="E12" s="15">
        <f>SUM(C12:D12)</f>
        <v>1386</v>
      </c>
    </row>
    <row r="13" spans="1:5" ht="12.75">
      <c r="A13" s="9"/>
      <c r="B13" s="17" t="s">
        <v>10</v>
      </c>
      <c r="C13" s="40">
        <f>108+16</f>
        <v>124</v>
      </c>
      <c r="D13" s="14">
        <v>262</v>
      </c>
      <c r="E13" s="15">
        <f>SUM(C13:D13)</f>
        <v>386</v>
      </c>
    </row>
    <row r="14" spans="1:5" ht="12.75">
      <c r="A14" s="9"/>
      <c r="B14" s="17" t="s">
        <v>11</v>
      </c>
      <c r="C14" s="40">
        <f>200+1</f>
        <v>201</v>
      </c>
      <c r="D14" s="14">
        <v>261</v>
      </c>
      <c r="E14" s="15">
        <f>SUM(C14:D14)</f>
        <v>462</v>
      </c>
    </row>
    <row r="15" spans="1:5" ht="12.75">
      <c r="A15" s="9"/>
      <c r="B15" s="17" t="s">
        <v>12</v>
      </c>
      <c r="C15" s="40">
        <v>506</v>
      </c>
      <c r="D15" s="14">
        <v>261</v>
      </c>
      <c r="E15" s="15">
        <f>SUM(C15:D15)</f>
        <v>767</v>
      </c>
    </row>
    <row r="16" spans="1:5" ht="12.75">
      <c r="A16" s="9" t="s">
        <v>13</v>
      </c>
      <c r="B16" s="18" t="s">
        <v>14</v>
      </c>
      <c r="C16" s="50">
        <f>SUM(C12:C15)</f>
        <v>1626</v>
      </c>
      <c r="D16" s="11">
        <f>SUM(D12:D15)</f>
        <v>1375</v>
      </c>
      <c r="E16" s="19">
        <f>SUM(C16:D16)</f>
        <v>3001</v>
      </c>
    </row>
    <row r="17" spans="1:5" ht="12.75">
      <c r="A17" s="9"/>
      <c r="B17" s="16" t="s">
        <v>15</v>
      </c>
      <c r="C17" s="40"/>
      <c r="D17" s="14"/>
      <c r="E17" s="15"/>
    </row>
    <row r="18" spans="1:5" ht="12.75">
      <c r="A18" s="9"/>
      <c r="B18" s="17" t="s">
        <v>9</v>
      </c>
      <c r="C18" s="40">
        <v>18</v>
      </c>
      <c r="D18" s="14">
        <f>3+53</f>
        <v>56</v>
      </c>
      <c r="E18" s="15">
        <f>SUM(C18:D18)</f>
        <v>74</v>
      </c>
    </row>
    <row r="19" spans="1:5" ht="12.75">
      <c r="A19" s="9"/>
      <c r="B19" s="17" t="s">
        <v>10</v>
      </c>
      <c r="C19" s="40"/>
      <c r="D19" s="14"/>
      <c r="E19" s="15">
        <f>SUM(C19:D19)</f>
        <v>0</v>
      </c>
    </row>
    <row r="20" spans="1:5" ht="12.75">
      <c r="A20" s="9"/>
      <c r="B20" s="17" t="s">
        <v>11</v>
      </c>
      <c r="C20" s="40"/>
      <c r="D20" s="14"/>
      <c r="E20" s="15">
        <f>SUM(C20:D20)</f>
        <v>0</v>
      </c>
    </row>
    <row r="21" spans="1:5" ht="12.75">
      <c r="A21" s="9"/>
      <c r="B21" s="17" t="s">
        <v>12</v>
      </c>
      <c r="C21" s="40"/>
      <c r="D21" s="14"/>
      <c r="E21" s="15">
        <f>SUM(C21:D21)</f>
        <v>0</v>
      </c>
    </row>
    <row r="22" spans="1:5" ht="12.75">
      <c r="A22" s="9" t="s">
        <v>16</v>
      </c>
      <c r="B22" s="18" t="s">
        <v>95</v>
      </c>
      <c r="C22" s="50">
        <f>SUM(C17:C21)</f>
        <v>18</v>
      </c>
      <c r="D22" s="11">
        <f>SUM(D17:D21)</f>
        <v>56</v>
      </c>
      <c r="E22" s="19">
        <f>SUM(C22:D22)</f>
        <v>74</v>
      </c>
    </row>
    <row r="23" spans="1:5" ht="12.75">
      <c r="A23" s="9"/>
      <c r="B23" s="16" t="s">
        <v>18</v>
      </c>
      <c r="C23" s="40"/>
      <c r="D23" s="14"/>
      <c r="E23" s="15"/>
    </row>
    <row r="24" spans="1:5" ht="12.75">
      <c r="A24" s="9"/>
      <c r="B24" s="17" t="s">
        <v>9</v>
      </c>
      <c r="C24" s="40">
        <v>7</v>
      </c>
      <c r="D24" s="14"/>
      <c r="E24" s="15">
        <f>SUM(C24:D24)</f>
        <v>7</v>
      </c>
    </row>
    <row r="25" spans="1:5" ht="12.75">
      <c r="A25" s="9"/>
      <c r="B25" s="17" t="s">
        <v>10</v>
      </c>
      <c r="C25" s="40"/>
      <c r="D25" s="14"/>
      <c r="E25" s="15">
        <f>SUM(C25:D25)</f>
        <v>0</v>
      </c>
    </row>
    <row r="26" spans="1:5" ht="12.75">
      <c r="A26" s="9"/>
      <c r="B26" s="17" t="s">
        <v>11</v>
      </c>
      <c r="C26" s="40"/>
      <c r="D26" s="14"/>
      <c r="E26" s="15">
        <f>SUM(C26:D26)</f>
        <v>0</v>
      </c>
    </row>
    <row r="27" spans="1:5" ht="12.75">
      <c r="A27" s="9"/>
      <c r="B27" s="17" t="s">
        <v>12</v>
      </c>
      <c r="C27" s="40"/>
      <c r="D27" s="14"/>
      <c r="E27" s="15">
        <f>SUM(C27:D27)</f>
        <v>0</v>
      </c>
    </row>
    <row r="28" spans="1:5" ht="12.75">
      <c r="A28" s="9" t="s">
        <v>19</v>
      </c>
      <c r="B28" s="18" t="s">
        <v>96</v>
      </c>
      <c r="C28" s="39">
        <f>SUM(C24:C27)</f>
        <v>7</v>
      </c>
      <c r="D28" s="11">
        <f>SUM(D24:D27)</f>
        <v>0</v>
      </c>
      <c r="E28" s="19">
        <f>SUM(C28:D28)</f>
        <v>7</v>
      </c>
    </row>
    <row r="29" spans="1:5" ht="12.75">
      <c r="A29" s="9"/>
      <c r="B29" s="16" t="s">
        <v>21</v>
      </c>
      <c r="C29" s="40"/>
      <c r="D29" s="14"/>
      <c r="E29" s="15"/>
    </row>
    <row r="30" spans="1:5" ht="12.75">
      <c r="A30" s="9"/>
      <c r="B30" s="17" t="s">
        <v>9</v>
      </c>
      <c r="C30" s="40">
        <v>4</v>
      </c>
      <c r="D30" s="14"/>
      <c r="E30" s="15">
        <f aca="true" t="shared" si="0" ref="E30:E37">SUM(C30:D30)</f>
        <v>4</v>
      </c>
    </row>
    <row r="31" spans="1:5" ht="12.75">
      <c r="A31" s="9"/>
      <c r="B31" s="17" t="s">
        <v>10</v>
      </c>
      <c r="C31" s="40"/>
      <c r="D31" s="14"/>
      <c r="E31" s="15">
        <f t="shared" si="0"/>
        <v>0</v>
      </c>
    </row>
    <row r="32" spans="1:5" ht="12.75">
      <c r="A32" s="9"/>
      <c r="B32" s="17" t="s">
        <v>11</v>
      </c>
      <c r="C32" s="40"/>
      <c r="D32" s="14"/>
      <c r="E32" s="15">
        <f t="shared" si="0"/>
        <v>0</v>
      </c>
    </row>
    <row r="33" spans="1:5" ht="12.75">
      <c r="A33" s="9"/>
      <c r="B33" s="17" t="s">
        <v>12</v>
      </c>
      <c r="C33" s="40">
        <f>74+1</f>
        <v>75</v>
      </c>
      <c r="D33" s="14">
        <f>15+1</f>
        <v>16</v>
      </c>
      <c r="E33" s="15">
        <f t="shared" si="0"/>
        <v>91</v>
      </c>
    </row>
    <row r="34" spans="1:5" ht="12.75">
      <c r="A34" s="9" t="s">
        <v>22</v>
      </c>
      <c r="B34" s="18" t="s">
        <v>23</v>
      </c>
      <c r="C34" s="39">
        <f>SUM(C30:C33)</f>
        <v>79</v>
      </c>
      <c r="D34" s="11">
        <f>SUM(D30:D33)</f>
        <v>16</v>
      </c>
      <c r="E34" s="19">
        <f t="shared" si="0"/>
        <v>95</v>
      </c>
    </row>
    <row r="35" spans="1:5" ht="15">
      <c r="A35" s="9" t="s">
        <v>24</v>
      </c>
      <c r="B35" s="46" t="s">
        <v>97</v>
      </c>
      <c r="C35" s="47">
        <f>C16+C22+C28+C34</f>
        <v>1730</v>
      </c>
      <c r="D35" s="48">
        <f>D16+D22+D28+D34</f>
        <v>1447</v>
      </c>
      <c r="E35" s="49">
        <f t="shared" si="0"/>
        <v>3177</v>
      </c>
    </row>
    <row r="36" spans="1:5" ht="12.75">
      <c r="A36" s="21" t="s">
        <v>26</v>
      </c>
      <c r="B36" s="22" t="s">
        <v>27</v>
      </c>
      <c r="C36" s="42">
        <f>+C33</f>
        <v>75</v>
      </c>
      <c r="D36" s="24">
        <f>+D33</f>
        <v>16</v>
      </c>
      <c r="E36" s="34">
        <f t="shared" si="0"/>
        <v>91</v>
      </c>
    </row>
    <row r="37" spans="1:5" ht="15">
      <c r="A37" s="9" t="s">
        <v>28</v>
      </c>
      <c r="B37" s="46" t="s">
        <v>98</v>
      </c>
      <c r="C37" s="47">
        <f>C35-C36</f>
        <v>1655</v>
      </c>
      <c r="D37" s="48">
        <f>D35-D36</f>
        <v>1431</v>
      </c>
      <c r="E37" s="49">
        <f t="shared" si="0"/>
        <v>3086</v>
      </c>
    </row>
    <row r="38" spans="1:5" ht="12.75">
      <c r="A38" s="9"/>
      <c r="B38" s="25"/>
      <c r="C38" s="40"/>
      <c r="D38" s="14"/>
      <c r="E38" s="15"/>
    </row>
    <row r="39" spans="1:5" ht="12.75">
      <c r="A39" s="9"/>
      <c r="B39" s="10" t="s">
        <v>30</v>
      </c>
      <c r="C39" s="40"/>
      <c r="D39" s="14"/>
      <c r="E39" s="15"/>
    </row>
    <row r="40" spans="1:5" ht="12.75">
      <c r="A40" s="9"/>
      <c r="B40" s="26" t="s">
        <v>31</v>
      </c>
      <c r="C40" s="40"/>
      <c r="D40" s="14"/>
      <c r="E40" s="15"/>
    </row>
    <row r="41" spans="1:5" ht="12.75">
      <c r="A41" s="9"/>
      <c r="B41" s="17" t="s">
        <v>9</v>
      </c>
      <c r="C41" s="40">
        <f>327+78</f>
        <v>405</v>
      </c>
      <c r="D41" s="14">
        <f>163+22</f>
        <v>185</v>
      </c>
      <c r="E41" s="15">
        <f>SUM(C41:D41)</f>
        <v>590</v>
      </c>
    </row>
    <row r="42" spans="1:5" ht="12.75">
      <c r="A42" s="9"/>
      <c r="B42" s="17" t="s">
        <v>10</v>
      </c>
      <c r="C42" s="40">
        <v>148</v>
      </c>
      <c r="D42" s="14">
        <v>14</v>
      </c>
      <c r="E42" s="15">
        <f>SUM(C42:D42)</f>
        <v>162</v>
      </c>
    </row>
    <row r="43" spans="1:5" ht="12.75">
      <c r="A43" s="9"/>
      <c r="B43" s="17" t="s">
        <v>11</v>
      </c>
      <c r="C43" s="40">
        <v>15</v>
      </c>
      <c r="D43" s="14">
        <v>4</v>
      </c>
      <c r="E43" s="15">
        <f>SUM(C43:D43)</f>
        <v>19</v>
      </c>
    </row>
    <row r="44" spans="1:5" ht="12.75">
      <c r="A44" s="9"/>
      <c r="B44" s="17" t="s">
        <v>12</v>
      </c>
      <c r="C44" s="40">
        <v>6</v>
      </c>
      <c r="D44" s="14">
        <v>0</v>
      </c>
      <c r="E44" s="15">
        <f>SUM(C44:D44)</f>
        <v>6</v>
      </c>
    </row>
    <row r="45" spans="1:5" ht="12.75">
      <c r="A45" s="9"/>
      <c r="B45" s="18" t="s">
        <v>99</v>
      </c>
      <c r="C45" s="50">
        <f>SUM(C41:C44)</f>
        <v>574</v>
      </c>
      <c r="D45" s="11">
        <f>SUM(D41:D44)</f>
        <v>203</v>
      </c>
      <c r="E45" s="19">
        <f>SUM(C45:D45)</f>
        <v>777</v>
      </c>
    </row>
    <row r="46" spans="1:5" ht="12.75">
      <c r="A46" s="9"/>
      <c r="B46" s="26" t="s">
        <v>33</v>
      </c>
      <c r="C46" s="40"/>
      <c r="D46" s="14"/>
      <c r="E46" s="15"/>
    </row>
    <row r="47" spans="1:5" ht="12.75">
      <c r="A47" s="9"/>
      <c r="B47" s="17" t="s">
        <v>9</v>
      </c>
      <c r="C47" s="40">
        <v>31</v>
      </c>
      <c r="D47" s="14">
        <v>26</v>
      </c>
      <c r="E47" s="15">
        <f aca="true" t="shared" si="1" ref="E47:E52">SUM(C47:D47)</f>
        <v>57</v>
      </c>
    </row>
    <row r="48" spans="1:5" ht="12.75">
      <c r="A48" s="9"/>
      <c r="B48" s="17" t="s">
        <v>10</v>
      </c>
      <c r="C48" s="40">
        <v>13</v>
      </c>
      <c r="D48" s="14"/>
      <c r="E48" s="15">
        <f t="shared" si="1"/>
        <v>13</v>
      </c>
    </row>
    <row r="49" spans="1:5" ht="12.75">
      <c r="A49" s="9"/>
      <c r="B49" s="17" t="s">
        <v>11</v>
      </c>
      <c r="C49" s="40">
        <v>3</v>
      </c>
      <c r="D49" s="14"/>
      <c r="E49" s="15">
        <f t="shared" si="1"/>
        <v>3</v>
      </c>
    </row>
    <row r="50" spans="1:5" ht="12.75">
      <c r="A50" s="9"/>
      <c r="B50" s="17" t="s">
        <v>12</v>
      </c>
      <c r="C50" s="40"/>
      <c r="D50" s="14"/>
      <c r="E50" s="15">
        <f t="shared" si="1"/>
        <v>0</v>
      </c>
    </row>
    <row r="51" spans="1:5" ht="24">
      <c r="A51" s="9"/>
      <c r="B51" s="18" t="s">
        <v>100</v>
      </c>
      <c r="C51" s="50">
        <f>SUM(C47:C50)</f>
        <v>47</v>
      </c>
      <c r="D51" s="11">
        <f>SUM(D47:D50)</f>
        <v>26</v>
      </c>
      <c r="E51" s="19">
        <f t="shared" si="1"/>
        <v>73</v>
      </c>
    </row>
    <row r="52" spans="1:5" ht="12.75">
      <c r="A52" s="54" t="s">
        <v>35</v>
      </c>
      <c r="B52" s="55" t="s">
        <v>36</v>
      </c>
      <c r="C52" s="51">
        <f>+C51+C45</f>
        <v>621</v>
      </c>
      <c r="D52" s="20">
        <f>+D51+D45</f>
        <v>229</v>
      </c>
      <c r="E52" s="12">
        <f t="shared" si="1"/>
        <v>850</v>
      </c>
    </row>
    <row r="53" spans="1:5" ht="12.75">
      <c r="A53" s="9"/>
      <c r="B53" s="10"/>
      <c r="C53" s="40"/>
      <c r="D53" s="14"/>
      <c r="E53" s="15"/>
    </row>
    <row r="54" spans="1:5" ht="12.75">
      <c r="A54" s="9"/>
      <c r="B54" s="10" t="s">
        <v>37</v>
      </c>
      <c r="C54" s="40"/>
      <c r="D54" s="14"/>
      <c r="E54" s="15"/>
    </row>
    <row r="55" spans="1:5" ht="12.75">
      <c r="A55" s="9"/>
      <c r="B55" s="17" t="s">
        <v>9</v>
      </c>
      <c r="C55" s="40">
        <v>18</v>
      </c>
      <c r="D55" s="14">
        <f>3+53</f>
        <v>56</v>
      </c>
      <c r="E55" s="15">
        <f>SUM(C55:D55)</f>
        <v>74</v>
      </c>
    </row>
    <row r="56" spans="1:5" ht="12.75">
      <c r="A56" s="9"/>
      <c r="B56" s="17" t="s">
        <v>10</v>
      </c>
      <c r="C56" s="40"/>
      <c r="D56" s="14"/>
      <c r="E56" s="15">
        <f>SUM(C56:D56)</f>
        <v>0</v>
      </c>
    </row>
    <row r="57" spans="1:5" ht="12.75">
      <c r="A57" s="9"/>
      <c r="B57" s="17" t="s">
        <v>11</v>
      </c>
      <c r="C57" s="40"/>
      <c r="D57" s="14"/>
      <c r="E57" s="15">
        <f>SUM(C57:D57)</f>
        <v>0</v>
      </c>
    </row>
    <row r="58" spans="1:5" ht="12.75">
      <c r="A58" s="9"/>
      <c r="B58" s="17" t="s">
        <v>12</v>
      </c>
      <c r="C58" s="40"/>
      <c r="D58" s="14"/>
      <c r="E58" s="15">
        <f>SUM(C58:D58)</f>
        <v>0</v>
      </c>
    </row>
    <row r="59" spans="1:5" ht="12.75">
      <c r="A59" s="54" t="s">
        <v>38</v>
      </c>
      <c r="B59" s="57" t="s">
        <v>101</v>
      </c>
      <c r="C59" s="41">
        <f>SUM(C55:C58)</f>
        <v>18</v>
      </c>
      <c r="D59" s="20">
        <f>SUM(D55:D58)</f>
        <v>56</v>
      </c>
      <c r="E59" s="12">
        <f>SUM(C59:D59)</f>
        <v>74</v>
      </c>
    </row>
    <row r="60" spans="1:5" ht="12.75">
      <c r="A60" s="9"/>
      <c r="B60" s="10"/>
      <c r="C60" s="40"/>
      <c r="D60" s="14"/>
      <c r="E60" s="15"/>
    </row>
    <row r="61" spans="1:5" ht="12.75">
      <c r="A61" s="9"/>
      <c r="B61" s="10" t="s">
        <v>40</v>
      </c>
      <c r="C61" s="40"/>
      <c r="D61" s="14"/>
      <c r="E61" s="15"/>
    </row>
    <row r="62" spans="1:5" ht="12.75">
      <c r="A62" s="9"/>
      <c r="B62" s="17" t="s">
        <v>9</v>
      </c>
      <c r="C62" s="40">
        <v>204</v>
      </c>
      <c r="D62" s="14">
        <f>14+49</f>
        <v>63</v>
      </c>
      <c r="E62" s="15">
        <f>SUM(C62:D62)</f>
        <v>267</v>
      </c>
    </row>
    <row r="63" spans="1:5" ht="12.75">
      <c r="A63" s="9"/>
      <c r="B63" s="17" t="s">
        <v>10</v>
      </c>
      <c r="C63" s="40">
        <v>11</v>
      </c>
      <c r="D63" s="14">
        <v>2</v>
      </c>
      <c r="E63" s="15">
        <f>SUM(C63:D63)</f>
        <v>13</v>
      </c>
    </row>
    <row r="64" spans="1:5" ht="12.75">
      <c r="A64" s="9"/>
      <c r="B64" s="17" t="s">
        <v>11</v>
      </c>
      <c r="C64" s="40">
        <v>2</v>
      </c>
      <c r="D64" s="14">
        <v>0</v>
      </c>
      <c r="E64" s="15">
        <f>SUM(C64:D64)</f>
        <v>2</v>
      </c>
    </row>
    <row r="65" spans="1:5" ht="12.75">
      <c r="A65" s="9"/>
      <c r="B65" s="17" t="s">
        <v>12</v>
      </c>
      <c r="C65" s="40">
        <v>5</v>
      </c>
      <c r="D65" s="14">
        <v>0</v>
      </c>
      <c r="E65" s="15">
        <f>SUM(C65:D65)</f>
        <v>5</v>
      </c>
    </row>
    <row r="66" spans="1:5" ht="12.75">
      <c r="A66" s="54" t="s">
        <v>41</v>
      </c>
      <c r="B66" s="57" t="s">
        <v>102</v>
      </c>
      <c r="C66" s="41">
        <f>SUM(C62:C65)</f>
        <v>222</v>
      </c>
      <c r="D66" s="20">
        <f>SUM(D62:D65)</f>
        <v>65</v>
      </c>
      <c r="E66" s="12">
        <f>SUM(C66:D66)</f>
        <v>287</v>
      </c>
    </row>
    <row r="67" spans="1:5" ht="12.75">
      <c r="A67" s="9"/>
      <c r="B67" s="10"/>
      <c r="C67" s="40"/>
      <c r="D67" s="14"/>
      <c r="E67" s="15"/>
    </row>
    <row r="68" spans="1:5" ht="12.75">
      <c r="A68" s="9" t="s">
        <v>43</v>
      </c>
      <c r="B68" s="10" t="s">
        <v>44</v>
      </c>
      <c r="C68" s="41">
        <f>135+3</f>
        <v>138</v>
      </c>
      <c r="D68" s="20">
        <f>15+3</f>
        <v>18</v>
      </c>
      <c r="E68" s="12">
        <f>SUM(C68:D68)</f>
        <v>156</v>
      </c>
    </row>
    <row r="69" spans="1:5" ht="12.75">
      <c r="A69" s="9"/>
      <c r="B69" s="10"/>
      <c r="C69" s="40"/>
      <c r="D69" s="14"/>
      <c r="E69" s="15"/>
    </row>
    <row r="70" spans="1:5" ht="12.75">
      <c r="A70" s="9"/>
      <c r="B70" s="10" t="s">
        <v>45</v>
      </c>
      <c r="C70" s="40"/>
      <c r="D70" s="14"/>
      <c r="E70" s="15"/>
    </row>
    <row r="71" spans="1:5" ht="12.75">
      <c r="A71" s="9" t="s">
        <v>46</v>
      </c>
      <c r="B71" s="25" t="s">
        <v>47</v>
      </c>
      <c r="C71" s="40">
        <v>19</v>
      </c>
      <c r="D71" s="14">
        <v>29</v>
      </c>
      <c r="E71" s="15">
        <f aca="true" t="shared" si="2" ref="E71:E77">SUM(C71:D71)</f>
        <v>48</v>
      </c>
    </row>
    <row r="72" spans="1:5" ht="12.75">
      <c r="A72" s="9" t="s">
        <v>48</v>
      </c>
      <c r="B72" s="25" t="s">
        <v>49</v>
      </c>
      <c r="C72" s="40">
        <v>129</v>
      </c>
      <c r="D72" s="14">
        <v>153</v>
      </c>
      <c r="E72" s="15">
        <f t="shared" si="2"/>
        <v>282</v>
      </c>
    </row>
    <row r="73" spans="1:5" ht="12.75">
      <c r="A73" s="9" t="s">
        <v>50</v>
      </c>
      <c r="B73" s="25" t="s">
        <v>51</v>
      </c>
      <c r="C73" s="40">
        <v>96</v>
      </c>
      <c r="D73" s="14">
        <v>192</v>
      </c>
      <c r="E73" s="15">
        <f t="shared" si="2"/>
        <v>288</v>
      </c>
    </row>
    <row r="74" spans="1:5" ht="12.75">
      <c r="A74" s="9" t="s">
        <v>52</v>
      </c>
      <c r="B74" s="25" t="s">
        <v>53</v>
      </c>
      <c r="C74" s="40">
        <f>399+5</f>
        <v>404</v>
      </c>
      <c r="D74" s="14">
        <f>584+13</f>
        <v>597</v>
      </c>
      <c r="E74" s="15">
        <f t="shared" si="2"/>
        <v>1001</v>
      </c>
    </row>
    <row r="75" spans="1:5" ht="12.75">
      <c r="A75" s="9" t="s">
        <v>54</v>
      </c>
      <c r="B75" s="25" t="s">
        <v>55</v>
      </c>
      <c r="C75" s="41">
        <f>SUM(C71:C74)</f>
        <v>648</v>
      </c>
      <c r="D75" s="20">
        <f>SUM(D71:D74)</f>
        <v>971</v>
      </c>
      <c r="E75" s="12">
        <f t="shared" si="2"/>
        <v>1619</v>
      </c>
    </row>
    <row r="76" spans="1:5" ht="12.75">
      <c r="A76" s="21" t="s">
        <v>56</v>
      </c>
      <c r="B76" s="22" t="s">
        <v>27</v>
      </c>
      <c r="C76" s="42">
        <f>+C36</f>
        <v>75</v>
      </c>
      <c r="D76" s="24">
        <f>+D36</f>
        <v>16</v>
      </c>
      <c r="E76" s="34">
        <f t="shared" si="2"/>
        <v>91</v>
      </c>
    </row>
    <row r="77" spans="1:5" ht="12.75">
      <c r="A77" s="9" t="s">
        <v>57</v>
      </c>
      <c r="B77" s="10" t="s">
        <v>58</v>
      </c>
      <c r="C77" s="41">
        <f>C75-C76</f>
        <v>573</v>
      </c>
      <c r="D77" s="20">
        <f>D75-D76</f>
        <v>955</v>
      </c>
      <c r="E77" s="12">
        <f t="shared" si="2"/>
        <v>1528</v>
      </c>
    </row>
    <row r="78" spans="1:5" ht="12.75">
      <c r="A78" s="9"/>
      <c r="B78" s="10"/>
      <c r="C78" s="40"/>
      <c r="D78" s="14"/>
      <c r="E78" s="15"/>
    </row>
    <row r="79" spans="1:5" ht="24">
      <c r="A79" s="9" t="s">
        <v>59</v>
      </c>
      <c r="B79" s="10" t="s">
        <v>60</v>
      </c>
      <c r="C79" s="41">
        <f>C52+C59+C66+C68+C77</f>
        <v>1572</v>
      </c>
      <c r="D79" s="20">
        <f>D52+D59+D66+D68+D77</f>
        <v>1323</v>
      </c>
      <c r="E79" s="12">
        <f>SUM(C79:D79)</f>
        <v>2895</v>
      </c>
    </row>
    <row r="80" spans="1:5" ht="12.75">
      <c r="A80" s="9"/>
      <c r="B80" s="27"/>
      <c r="C80" s="40"/>
      <c r="D80" s="14"/>
      <c r="E80" s="15"/>
    </row>
    <row r="81" spans="1:5" ht="12.75">
      <c r="A81" s="9" t="s">
        <v>61</v>
      </c>
      <c r="B81" s="10" t="s">
        <v>62</v>
      </c>
      <c r="C81" s="41">
        <v>12</v>
      </c>
      <c r="D81" s="20">
        <f>11+3</f>
        <v>14</v>
      </c>
      <c r="E81" s="12">
        <f>SUM(C81:D81)</f>
        <v>26</v>
      </c>
    </row>
    <row r="82" spans="1:5" ht="12.75">
      <c r="A82" s="9"/>
      <c r="B82" s="27"/>
      <c r="C82" s="40"/>
      <c r="D82" s="14"/>
      <c r="E82" s="15"/>
    </row>
    <row r="83" spans="1:5" ht="24">
      <c r="A83" s="9" t="s">
        <v>63</v>
      </c>
      <c r="B83" s="10" t="s">
        <v>64</v>
      </c>
      <c r="C83" s="41">
        <f>C79+C81</f>
        <v>1584</v>
      </c>
      <c r="D83" s="20">
        <f>D79+D81</f>
        <v>1337</v>
      </c>
      <c r="E83" s="12">
        <f>SUM(C83:D83)</f>
        <v>2921</v>
      </c>
    </row>
    <row r="84" spans="1:5" ht="12.75">
      <c r="A84" s="9"/>
      <c r="B84" s="27"/>
      <c r="C84" s="40"/>
      <c r="D84" s="14"/>
      <c r="E84" s="15"/>
    </row>
    <row r="85" spans="1:5" ht="13.5" thickBot="1">
      <c r="A85" s="28" t="s">
        <v>65</v>
      </c>
      <c r="B85" s="29" t="s">
        <v>66</v>
      </c>
      <c r="C85" s="52">
        <f>+C8+C37-C83</f>
        <v>474</v>
      </c>
      <c r="D85" s="53">
        <f>+D8+D37-D83</f>
        <v>835</v>
      </c>
      <c r="E85" s="30">
        <f>SUM(C85:D85)</f>
        <v>1309</v>
      </c>
    </row>
    <row r="86" spans="1:5" ht="30" customHeight="1">
      <c r="A86" s="69" t="s">
        <v>67</v>
      </c>
      <c r="B86" s="70"/>
      <c r="C86" s="35">
        <f>(C8+C35)-(C76+C83)</f>
        <v>474</v>
      </c>
      <c r="D86" s="35">
        <f>(D8+D35)-(D76+D83)</f>
        <v>835</v>
      </c>
      <c r="E86" s="35">
        <f>(E8+E35)-(E76+E83)</f>
        <v>1309</v>
      </c>
    </row>
    <row r="87" spans="1:5" ht="42.75" customHeight="1">
      <c r="A87" s="67" t="s">
        <v>68</v>
      </c>
      <c r="B87" s="68"/>
      <c r="C87" s="68"/>
      <c r="D87" s="68"/>
      <c r="E87" s="68"/>
    </row>
    <row r="88" spans="1:5" ht="12.75">
      <c r="A88" s="36"/>
      <c r="B88" s="37"/>
      <c r="C88" s="37"/>
      <c r="D88" s="37"/>
      <c r="E88" s="37"/>
    </row>
    <row r="89" spans="1:5" ht="15" customHeight="1">
      <c r="A89" s="62" t="s">
        <v>69</v>
      </c>
      <c r="B89" s="63"/>
      <c r="C89" s="63"/>
      <c r="D89" s="63"/>
      <c r="E89" s="63"/>
    </row>
    <row r="90" ht="12.75">
      <c r="A90" s="31"/>
    </row>
    <row r="91" spans="1:5" ht="45.75" customHeight="1">
      <c r="A91" s="58" t="s">
        <v>70</v>
      </c>
      <c r="B91" s="59"/>
      <c r="C91" s="59"/>
      <c r="D91" s="59"/>
      <c r="E91" s="59"/>
    </row>
    <row r="92" ht="15" customHeight="1">
      <c r="A92" s="32"/>
    </row>
    <row r="93" ht="15.75">
      <c r="A93" s="33" t="s">
        <v>91</v>
      </c>
    </row>
  </sheetData>
  <sheetProtection/>
  <mergeCells count="6">
    <mergeCell ref="A91:E91"/>
    <mergeCell ref="A1:E1"/>
    <mergeCell ref="A89:E89"/>
    <mergeCell ref="C6:E6"/>
    <mergeCell ref="A87:E87"/>
    <mergeCell ref="A86:B86"/>
  </mergeCells>
  <printOptions/>
  <pageMargins left="0.25" right="0.25" top="0.8" bottom="0.33" header="0.48" footer="0.21"/>
  <pageSetup fitToHeight="1" fitToWidth="1" horizontalDpi="600" verticalDpi="600" orientation="portrait" paperSize="5" scale="8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1">
      <selection activeCell="C19" sqref="C19"/>
    </sheetView>
  </sheetViews>
  <sheetFormatPr defaultColWidth="8.8515625" defaultRowHeight="12.75"/>
  <cols>
    <col min="1" max="1" width="2.8515625" style="0" customWidth="1"/>
    <col min="2" max="2" width="69.8515625" style="0" customWidth="1"/>
  </cols>
  <sheetData>
    <row r="1" spans="1:5" ht="18">
      <c r="A1" s="60" t="s">
        <v>71</v>
      </c>
      <c r="B1" s="61"/>
      <c r="C1" s="61"/>
      <c r="D1" s="61"/>
      <c r="E1" s="61"/>
    </row>
    <row r="2" ht="15.75">
      <c r="A2" s="2" t="s">
        <v>0</v>
      </c>
    </row>
    <row r="3" ht="15.75">
      <c r="A3" s="2" t="s">
        <v>1</v>
      </c>
    </row>
    <row r="4" ht="15.75">
      <c r="A4" s="44" t="str">
        <f>+'Jan '!A4</f>
        <v>YEAR: 1/1/2010 - 12/31/2010</v>
      </c>
    </row>
    <row r="5" ht="13.5" thickBot="1">
      <c r="A5" s="3"/>
    </row>
    <row r="6" spans="1:5" ht="13.5" thickBot="1">
      <c r="A6" s="4"/>
      <c r="B6" s="5" t="str">
        <f>+'Jan '!B6</f>
        <v>NAME OF ORGANIZATION:  Miami Dade Coalition</v>
      </c>
      <c r="C6" s="64" t="s">
        <v>75</v>
      </c>
      <c r="D6" s="65"/>
      <c r="E6" s="66"/>
    </row>
    <row r="7" spans="1:5" ht="12.75">
      <c r="A7" s="4"/>
      <c r="B7" s="6"/>
      <c r="C7" s="38" t="s">
        <v>2</v>
      </c>
      <c r="D7" s="7" t="s">
        <v>3</v>
      </c>
      <c r="E7" s="8" t="s">
        <v>4</v>
      </c>
    </row>
    <row r="8" spans="1:5" ht="12.75">
      <c r="A8" s="9" t="s">
        <v>5</v>
      </c>
      <c r="B8" s="10" t="s">
        <v>6</v>
      </c>
      <c r="C8" s="39">
        <f>+'Apr '!C85</f>
        <v>474</v>
      </c>
      <c r="D8" s="11">
        <f>+'Apr '!D85</f>
        <v>835</v>
      </c>
      <c r="E8" s="12">
        <f>SUM(C8:D8)</f>
        <v>1309</v>
      </c>
    </row>
    <row r="9" spans="1:5" ht="12.75">
      <c r="A9" s="9"/>
      <c r="B9" s="10"/>
      <c r="C9" s="40"/>
      <c r="D9" s="14"/>
      <c r="E9" s="12"/>
    </row>
    <row r="10" spans="1:5" ht="12.75">
      <c r="A10" s="9"/>
      <c r="B10" s="10" t="s">
        <v>7</v>
      </c>
      <c r="C10" s="40"/>
      <c r="D10" s="14"/>
      <c r="E10" s="15"/>
    </row>
    <row r="11" spans="1:5" ht="12.75">
      <c r="A11" s="9"/>
      <c r="B11" s="16" t="s">
        <v>8</v>
      </c>
      <c r="C11" s="40"/>
      <c r="D11" s="14"/>
      <c r="E11" s="15"/>
    </row>
    <row r="12" spans="1:5" ht="12.75">
      <c r="A12" s="9"/>
      <c r="B12" s="17" t="s">
        <v>9</v>
      </c>
      <c r="C12" s="40">
        <f>814+65+31</f>
        <v>910</v>
      </c>
      <c r="D12" s="14">
        <f>790+54+30+1</f>
        <v>875</v>
      </c>
      <c r="E12" s="15">
        <f>SUM(C12:D12)</f>
        <v>1785</v>
      </c>
    </row>
    <row r="13" spans="1:5" ht="12.75">
      <c r="A13" s="9"/>
      <c r="B13" s="17" t="s">
        <v>10</v>
      </c>
      <c r="C13" s="40">
        <f>121+12</f>
        <v>133</v>
      </c>
      <c r="D13" s="14">
        <v>394</v>
      </c>
      <c r="E13" s="15">
        <f>SUM(C13:D13)</f>
        <v>527</v>
      </c>
    </row>
    <row r="14" spans="1:5" ht="12.75">
      <c r="A14" s="9"/>
      <c r="B14" s="17" t="s">
        <v>11</v>
      </c>
      <c r="C14" s="40">
        <v>225</v>
      </c>
      <c r="D14" s="14">
        <v>392</v>
      </c>
      <c r="E14" s="15">
        <f>SUM(C14:D14)</f>
        <v>617</v>
      </c>
    </row>
    <row r="15" spans="1:5" ht="12.75">
      <c r="A15" s="9"/>
      <c r="B15" s="17" t="s">
        <v>12</v>
      </c>
      <c r="C15" s="40">
        <v>572</v>
      </c>
      <c r="D15" s="14">
        <v>394</v>
      </c>
      <c r="E15" s="15">
        <f>SUM(C15:D15)</f>
        <v>966</v>
      </c>
    </row>
    <row r="16" spans="1:5" ht="12.75">
      <c r="A16" s="9" t="s">
        <v>13</v>
      </c>
      <c r="B16" s="18" t="s">
        <v>14</v>
      </c>
      <c r="C16" s="50">
        <f>SUM(C12:C15)</f>
        <v>1840</v>
      </c>
      <c r="D16" s="11">
        <f>SUM(D12:D15)</f>
        <v>2055</v>
      </c>
      <c r="E16" s="19">
        <f>SUM(C16:D16)</f>
        <v>3895</v>
      </c>
    </row>
    <row r="17" spans="1:5" ht="12.75">
      <c r="A17" s="9"/>
      <c r="B17" s="16" t="s">
        <v>15</v>
      </c>
      <c r="C17" s="40"/>
      <c r="D17" s="14"/>
      <c r="E17" s="15"/>
    </row>
    <row r="18" spans="1:5" ht="12.75">
      <c r="A18" s="9"/>
      <c r="B18" s="17" t="s">
        <v>9</v>
      </c>
      <c r="C18" s="40">
        <v>15</v>
      </c>
      <c r="D18" s="14"/>
      <c r="E18" s="15">
        <f>SUM(C18:D18)</f>
        <v>15</v>
      </c>
    </row>
    <row r="19" spans="1:5" ht="12.75">
      <c r="A19" s="9"/>
      <c r="B19" s="17" t="s">
        <v>10</v>
      </c>
      <c r="C19" s="40"/>
      <c r="D19" s="14"/>
      <c r="E19" s="15">
        <f>SUM(C19:D19)</f>
        <v>0</v>
      </c>
    </row>
    <row r="20" spans="1:5" ht="12.75">
      <c r="A20" s="9"/>
      <c r="B20" s="17" t="s">
        <v>11</v>
      </c>
      <c r="C20" s="40"/>
      <c r="D20" s="14"/>
      <c r="E20" s="15">
        <f>SUM(C20:D20)</f>
        <v>0</v>
      </c>
    </row>
    <row r="21" spans="1:5" ht="12.75">
      <c r="A21" s="9"/>
      <c r="B21" s="17" t="s">
        <v>12</v>
      </c>
      <c r="C21" s="40">
        <v>4</v>
      </c>
      <c r="D21" s="14"/>
      <c r="E21" s="15">
        <f>SUM(C21:D21)</f>
        <v>4</v>
      </c>
    </row>
    <row r="22" spans="1:5" ht="12.75">
      <c r="A22" s="9" t="s">
        <v>16</v>
      </c>
      <c r="B22" s="18" t="s">
        <v>95</v>
      </c>
      <c r="C22" s="50">
        <f>SUM(C17:C21)</f>
        <v>19</v>
      </c>
      <c r="D22" s="11">
        <f>SUM(D17:D21)</f>
        <v>0</v>
      </c>
      <c r="E22" s="19">
        <f>SUM(C22:D22)</f>
        <v>19</v>
      </c>
    </row>
    <row r="23" spans="1:5" ht="12.75">
      <c r="A23" s="9"/>
      <c r="B23" s="16" t="s">
        <v>18</v>
      </c>
      <c r="C23" s="40"/>
      <c r="D23" s="14"/>
      <c r="E23" s="15"/>
    </row>
    <row r="24" spans="1:5" ht="12.75">
      <c r="A24" s="9"/>
      <c r="B24" s="17" t="s">
        <v>9</v>
      </c>
      <c r="C24" s="40">
        <v>12</v>
      </c>
      <c r="D24" s="14">
        <f>2+71</f>
        <v>73</v>
      </c>
      <c r="E24" s="15">
        <f>SUM(C24:D24)</f>
        <v>85</v>
      </c>
    </row>
    <row r="25" spans="1:5" ht="12.75">
      <c r="A25" s="9"/>
      <c r="B25" s="17" t="s">
        <v>10</v>
      </c>
      <c r="C25" s="40"/>
      <c r="D25" s="14"/>
      <c r="E25" s="15">
        <f>SUM(C25:D25)</f>
        <v>0</v>
      </c>
    </row>
    <row r="26" spans="1:5" ht="12.75">
      <c r="A26" s="9"/>
      <c r="B26" s="17" t="s">
        <v>11</v>
      </c>
      <c r="C26" s="40"/>
      <c r="D26" s="14"/>
      <c r="E26" s="15">
        <f>SUM(C26:D26)</f>
        <v>0</v>
      </c>
    </row>
    <row r="27" spans="1:5" ht="12.75">
      <c r="A27" s="9"/>
      <c r="B27" s="17" t="s">
        <v>12</v>
      </c>
      <c r="C27" s="40"/>
      <c r="D27" s="14"/>
      <c r="E27" s="15">
        <f>SUM(C27:D27)</f>
        <v>0</v>
      </c>
    </row>
    <row r="28" spans="1:5" ht="12.75">
      <c r="A28" s="9" t="s">
        <v>19</v>
      </c>
      <c r="B28" s="18" t="s">
        <v>96</v>
      </c>
      <c r="C28" s="39">
        <f>SUM(C24:C27)</f>
        <v>12</v>
      </c>
      <c r="D28" s="11">
        <f>SUM(D24:D27)</f>
        <v>73</v>
      </c>
      <c r="E28" s="19">
        <f>SUM(C28:D28)</f>
        <v>85</v>
      </c>
    </row>
    <row r="29" spans="1:5" ht="12.75">
      <c r="A29" s="9"/>
      <c r="B29" s="16" t="s">
        <v>21</v>
      </c>
      <c r="C29" s="40"/>
      <c r="D29" s="14"/>
      <c r="E29" s="15"/>
    </row>
    <row r="30" spans="1:5" ht="12.75">
      <c r="A30" s="9"/>
      <c r="B30" s="17" t="s">
        <v>9</v>
      </c>
      <c r="C30" s="40"/>
      <c r="D30" s="14"/>
      <c r="E30" s="15">
        <f aca="true" t="shared" si="0" ref="E30:E37">SUM(C30:D30)</f>
        <v>0</v>
      </c>
    </row>
    <row r="31" spans="1:5" ht="12.75">
      <c r="A31" s="9"/>
      <c r="B31" s="17" t="s">
        <v>10</v>
      </c>
      <c r="C31" s="40"/>
      <c r="D31" s="14"/>
      <c r="E31" s="15">
        <f t="shared" si="0"/>
        <v>0</v>
      </c>
    </row>
    <row r="32" spans="1:5" ht="12.75">
      <c r="A32" s="9"/>
      <c r="B32" s="17" t="s">
        <v>11</v>
      </c>
      <c r="C32" s="40"/>
      <c r="D32" s="14"/>
      <c r="E32" s="15">
        <f t="shared" si="0"/>
        <v>0</v>
      </c>
    </row>
    <row r="33" spans="1:5" ht="12.75">
      <c r="A33" s="9"/>
      <c r="B33" s="17" t="s">
        <v>12</v>
      </c>
      <c r="C33" s="40">
        <f>104+5</f>
        <v>109</v>
      </c>
      <c r="D33" s="14">
        <f>14+3</f>
        <v>17</v>
      </c>
      <c r="E33" s="15">
        <f t="shared" si="0"/>
        <v>126</v>
      </c>
    </row>
    <row r="34" spans="1:5" ht="12.75">
      <c r="A34" s="9" t="s">
        <v>22</v>
      </c>
      <c r="B34" s="18" t="s">
        <v>23</v>
      </c>
      <c r="C34" s="39">
        <f>SUM(C30:C33)</f>
        <v>109</v>
      </c>
      <c r="D34" s="11">
        <f>SUM(D30:D33)</f>
        <v>17</v>
      </c>
      <c r="E34" s="19">
        <f t="shared" si="0"/>
        <v>126</v>
      </c>
    </row>
    <row r="35" spans="1:5" ht="15">
      <c r="A35" s="9" t="s">
        <v>24</v>
      </c>
      <c r="B35" s="46" t="s">
        <v>97</v>
      </c>
      <c r="C35" s="47">
        <f>C16+C22+C28+C34</f>
        <v>1980</v>
      </c>
      <c r="D35" s="48">
        <f>D16+D22+D28+D34</f>
        <v>2145</v>
      </c>
      <c r="E35" s="49">
        <f t="shared" si="0"/>
        <v>4125</v>
      </c>
    </row>
    <row r="36" spans="1:5" ht="12.75">
      <c r="A36" s="21" t="s">
        <v>26</v>
      </c>
      <c r="B36" s="22" t="s">
        <v>27</v>
      </c>
      <c r="C36" s="42">
        <f>+C33</f>
        <v>109</v>
      </c>
      <c r="D36" s="24">
        <f>+D33</f>
        <v>17</v>
      </c>
      <c r="E36" s="34">
        <f t="shared" si="0"/>
        <v>126</v>
      </c>
    </row>
    <row r="37" spans="1:5" ht="15">
      <c r="A37" s="9" t="s">
        <v>28</v>
      </c>
      <c r="B37" s="46" t="s">
        <v>98</v>
      </c>
      <c r="C37" s="47">
        <f>C35-C36</f>
        <v>1871</v>
      </c>
      <c r="D37" s="48">
        <f>D35-D36</f>
        <v>2128</v>
      </c>
      <c r="E37" s="49">
        <f t="shared" si="0"/>
        <v>3999</v>
      </c>
    </row>
    <row r="38" spans="1:5" ht="12.75">
      <c r="A38" s="9"/>
      <c r="B38" s="25"/>
      <c r="C38" s="40"/>
      <c r="D38" s="14"/>
      <c r="E38" s="15"/>
    </row>
    <row r="39" spans="1:5" ht="12.75">
      <c r="A39" s="9"/>
      <c r="B39" s="10" t="s">
        <v>30</v>
      </c>
      <c r="C39" s="40"/>
      <c r="D39" s="14"/>
      <c r="E39" s="15"/>
    </row>
    <row r="40" spans="1:5" ht="12.75">
      <c r="A40" s="9"/>
      <c r="B40" s="26" t="s">
        <v>31</v>
      </c>
      <c r="C40" s="40"/>
      <c r="D40" s="14"/>
      <c r="E40" s="15"/>
    </row>
    <row r="41" spans="1:5" ht="12.75">
      <c r="A41" s="9"/>
      <c r="B41" s="17" t="s">
        <v>9</v>
      </c>
      <c r="C41" s="40">
        <f>361+80</f>
        <v>441</v>
      </c>
      <c r="D41" s="14">
        <f>143+23</f>
        <v>166</v>
      </c>
      <c r="E41" s="15">
        <f>SUM(C41:D41)</f>
        <v>607</v>
      </c>
    </row>
    <row r="42" spans="1:5" ht="12.75">
      <c r="A42" s="9"/>
      <c r="B42" s="17" t="s">
        <v>10</v>
      </c>
      <c r="C42" s="40">
        <v>164</v>
      </c>
      <c r="D42" s="14">
        <v>13</v>
      </c>
      <c r="E42" s="15">
        <f>SUM(C42:D42)</f>
        <v>177</v>
      </c>
    </row>
    <row r="43" spans="1:5" ht="12.75">
      <c r="A43" s="9"/>
      <c r="B43" s="17" t="s">
        <v>11</v>
      </c>
      <c r="C43" s="40">
        <v>16</v>
      </c>
      <c r="D43" s="14">
        <v>3</v>
      </c>
      <c r="E43" s="15">
        <f>SUM(C43:D43)</f>
        <v>19</v>
      </c>
    </row>
    <row r="44" spans="1:5" ht="12.75">
      <c r="A44" s="9"/>
      <c r="B44" s="17" t="s">
        <v>12</v>
      </c>
      <c r="C44" s="40">
        <v>6</v>
      </c>
      <c r="D44" s="14">
        <v>0</v>
      </c>
      <c r="E44" s="15">
        <f>SUM(C44:D44)</f>
        <v>6</v>
      </c>
    </row>
    <row r="45" spans="1:5" ht="12.75">
      <c r="A45" s="9"/>
      <c r="B45" s="18" t="s">
        <v>99</v>
      </c>
      <c r="C45" s="50">
        <f>SUM(C41:C44)</f>
        <v>627</v>
      </c>
      <c r="D45" s="11">
        <f>SUM(D41:D44)</f>
        <v>182</v>
      </c>
      <c r="E45" s="19">
        <f>SUM(C45:D45)</f>
        <v>809</v>
      </c>
    </row>
    <row r="46" spans="1:5" ht="12.75">
      <c r="A46" s="9"/>
      <c r="B46" s="26" t="s">
        <v>33</v>
      </c>
      <c r="C46" s="40"/>
      <c r="D46" s="14"/>
      <c r="E46" s="15"/>
    </row>
    <row r="47" spans="1:5" ht="12.75">
      <c r="A47" s="9"/>
      <c r="B47" s="17" t="s">
        <v>9</v>
      </c>
      <c r="C47" s="40">
        <v>31</v>
      </c>
      <c r="D47" s="14">
        <f>37+1</f>
        <v>38</v>
      </c>
      <c r="E47" s="15">
        <f aca="true" t="shared" si="1" ref="E47:E52">SUM(C47:D47)</f>
        <v>69</v>
      </c>
    </row>
    <row r="48" spans="1:5" ht="12.75">
      <c r="A48" s="9"/>
      <c r="B48" s="17" t="s">
        <v>10</v>
      </c>
      <c r="C48" s="40">
        <v>13</v>
      </c>
      <c r="D48" s="14"/>
      <c r="E48" s="15">
        <f t="shared" si="1"/>
        <v>13</v>
      </c>
    </row>
    <row r="49" spans="1:5" ht="12.75">
      <c r="A49" s="9"/>
      <c r="B49" s="17" t="s">
        <v>11</v>
      </c>
      <c r="C49" s="40"/>
      <c r="D49" s="14"/>
      <c r="E49" s="15">
        <f t="shared" si="1"/>
        <v>0</v>
      </c>
    </row>
    <row r="50" spans="1:5" ht="12.75">
      <c r="A50" s="9"/>
      <c r="B50" s="17" t="s">
        <v>12</v>
      </c>
      <c r="C50" s="40"/>
      <c r="D50" s="14"/>
      <c r="E50" s="15">
        <f t="shared" si="1"/>
        <v>0</v>
      </c>
    </row>
    <row r="51" spans="1:5" ht="24">
      <c r="A51" s="9"/>
      <c r="B51" s="18" t="s">
        <v>100</v>
      </c>
      <c r="C51" s="50">
        <f>SUM(C47:C50)</f>
        <v>44</v>
      </c>
      <c r="D51" s="11">
        <f>SUM(D47:D50)</f>
        <v>38</v>
      </c>
      <c r="E51" s="19">
        <f t="shared" si="1"/>
        <v>82</v>
      </c>
    </row>
    <row r="52" spans="1:5" ht="12.75">
      <c r="A52" s="54" t="s">
        <v>35</v>
      </c>
      <c r="B52" s="55" t="s">
        <v>36</v>
      </c>
      <c r="C52" s="51">
        <f>+C51+C45</f>
        <v>671</v>
      </c>
      <c r="D52" s="20">
        <f>+D51+D45</f>
        <v>220</v>
      </c>
      <c r="E52" s="12">
        <f t="shared" si="1"/>
        <v>891</v>
      </c>
    </row>
    <row r="53" spans="1:5" ht="12.75">
      <c r="A53" s="9"/>
      <c r="B53" s="10"/>
      <c r="C53" s="40"/>
      <c r="D53" s="14"/>
      <c r="E53" s="15"/>
    </row>
    <row r="54" spans="1:5" ht="12.75">
      <c r="A54" s="9"/>
      <c r="B54" s="10" t="s">
        <v>37</v>
      </c>
      <c r="C54" s="40"/>
      <c r="D54" s="14"/>
      <c r="E54" s="15"/>
    </row>
    <row r="55" spans="1:5" ht="12.75">
      <c r="A55" s="9"/>
      <c r="B55" s="17" t="s">
        <v>9</v>
      </c>
      <c r="C55" s="40">
        <v>15</v>
      </c>
      <c r="D55" s="14"/>
      <c r="E55" s="15">
        <f>SUM(C55:D55)</f>
        <v>15</v>
      </c>
    </row>
    <row r="56" spans="1:5" ht="12.75">
      <c r="A56" s="9"/>
      <c r="B56" s="17" t="s">
        <v>10</v>
      </c>
      <c r="C56" s="40"/>
      <c r="D56" s="14"/>
      <c r="E56" s="15">
        <f>SUM(C56:D56)</f>
        <v>0</v>
      </c>
    </row>
    <row r="57" spans="1:5" ht="12.75">
      <c r="A57" s="9"/>
      <c r="B57" s="17" t="s">
        <v>11</v>
      </c>
      <c r="C57" s="40"/>
      <c r="D57" s="14"/>
      <c r="E57" s="15">
        <f>SUM(C57:D57)</f>
        <v>0</v>
      </c>
    </row>
    <row r="58" spans="1:5" ht="12.75">
      <c r="A58" s="9"/>
      <c r="B58" s="17" t="s">
        <v>12</v>
      </c>
      <c r="C58" s="40">
        <v>4</v>
      </c>
      <c r="D58" s="14"/>
      <c r="E58" s="15">
        <f>SUM(C58:D58)</f>
        <v>4</v>
      </c>
    </row>
    <row r="59" spans="1:5" ht="12.75">
      <c r="A59" s="54" t="s">
        <v>38</v>
      </c>
      <c r="B59" s="57" t="s">
        <v>101</v>
      </c>
      <c r="C59" s="41">
        <f>SUM(C55:C58)</f>
        <v>19</v>
      </c>
      <c r="D59" s="20">
        <f>SUM(D55:D58)</f>
        <v>0</v>
      </c>
      <c r="E59" s="12">
        <f>SUM(C59:D59)</f>
        <v>19</v>
      </c>
    </row>
    <row r="60" spans="1:5" ht="12.75">
      <c r="A60" s="9"/>
      <c r="B60" s="10"/>
      <c r="C60" s="40"/>
      <c r="D60" s="14"/>
      <c r="E60" s="15"/>
    </row>
    <row r="61" spans="1:5" ht="12.75">
      <c r="A61" s="9"/>
      <c r="B61" s="10" t="s">
        <v>40</v>
      </c>
      <c r="C61" s="40"/>
      <c r="D61" s="14"/>
      <c r="E61" s="15"/>
    </row>
    <row r="62" spans="1:5" ht="12.75">
      <c r="A62" s="9"/>
      <c r="B62" s="17" t="s">
        <v>9</v>
      </c>
      <c r="C62" s="40">
        <v>317</v>
      </c>
      <c r="D62" s="14">
        <f>95+141</f>
        <v>236</v>
      </c>
      <c r="E62" s="15">
        <f>SUM(C62:D62)</f>
        <v>553</v>
      </c>
    </row>
    <row r="63" spans="1:5" ht="12.75">
      <c r="A63" s="9"/>
      <c r="B63" s="17" t="s">
        <v>10</v>
      </c>
      <c r="C63" s="40">
        <v>17</v>
      </c>
      <c r="D63" s="14">
        <v>3</v>
      </c>
      <c r="E63" s="15">
        <f>SUM(C63:D63)</f>
        <v>20</v>
      </c>
    </row>
    <row r="64" spans="1:5" ht="12.75">
      <c r="A64" s="9"/>
      <c r="B64" s="17" t="s">
        <v>11</v>
      </c>
      <c r="C64" s="40">
        <v>4</v>
      </c>
      <c r="D64" s="14"/>
      <c r="E64" s="15">
        <f>SUM(C64:D64)</f>
        <v>4</v>
      </c>
    </row>
    <row r="65" spans="1:5" ht="12.75">
      <c r="A65" s="9"/>
      <c r="B65" s="17" t="s">
        <v>12</v>
      </c>
      <c r="C65" s="40">
        <v>7</v>
      </c>
      <c r="D65" s="14"/>
      <c r="E65" s="15">
        <f>SUM(C65:D65)</f>
        <v>7</v>
      </c>
    </row>
    <row r="66" spans="1:5" ht="12.75">
      <c r="A66" s="54" t="s">
        <v>41</v>
      </c>
      <c r="B66" s="57" t="s">
        <v>102</v>
      </c>
      <c r="C66" s="41">
        <f>SUM(C62:C65)</f>
        <v>345</v>
      </c>
      <c r="D66" s="20">
        <f>SUM(D62:D65)</f>
        <v>239</v>
      </c>
      <c r="E66" s="12">
        <f>SUM(C66:D66)</f>
        <v>584</v>
      </c>
    </row>
    <row r="67" spans="1:5" ht="12.75">
      <c r="A67" s="9"/>
      <c r="B67" s="10"/>
      <c r="C67" s="40"/>
      <c r="D67" s="14"/>
      <c r="E67" s="15"/>
    </row>
    <row r="68" spans="1:5" ht="12.75">
      <c r="A68" s="9" t="s">
        <v>43</v>
      </c>
      <c r="B68" s="10" t="s">
        <v>44</v>
      </c>
      <c r="C68" s="41">
        <f>113+4+1</f>
        <v>118</v>
      </c>
      <c r="D68" s="20">
        <v>0</v>
      </c>
      <c r="E68" s="12">
        <f>SUM(C68:D68)</f>
        <v>118</v>
      </c>
    </row>
    <row r="69" spans="1:5" ht="12.75">
      <c r="A69" s="9"/>
      <c r="B69" s="10"/>
      <c r="C69" s="40"/>
      <c r="D69" s="14"/>
      <c r="E69" s="15"/>
    </row>
    <row r="70" spans="1:5" ht="12.75">
      <c r="A70" s="9"/>
      <c r="B70" s="10" t="s">
        <v>45</v>
      </c>
      <c r="C70" s="40"/>
      <c r="D70" s="14"/>
      <c r="E70" s="15"/>
    </row>
    <row r="71" spans="1:5" ht="12.75">
      <c r="A71" s="9" t="s">
        <v>46</v>
      </c>
      <c r="B71" s="25" t="s">
        <v>47</v>
      </c>
      <c r="C71" s="40">
        <v>22</v>
      </c>
      <c r="D71" s="14">
        <v>52</v>
      </c>
      <c r="E71" s="15">
        <f aca="true" t="shared" si="2" ref="E71:E77">SUM(C71:D71)</f>
        <v>74</v>
      </c>
    </row>
    <row r="72" spans="1:5" ht="12.75">
      <c r="A72" s="9" t="s">
        <v>48</v>
      </c>
      <c r="B72" s="25" t="s">
        <v>49</v>
      </c>
      <c r="C72" s="40">
        <v>146</v>
      </c>
      <c r="D72" s="14">
        <v>280</v>
      </c>
      <c r="E72" s="15">
        <f t="shared" si="2"/>
        <v>426</v>
      </c>
    </row>
    <row r="73" spans="1:5" ht="12.75">
      <c r="A73" s="9" t="s">
        <v>50</v>
      </c>
      <c r="B73" s="25" t="s">
        <v>51</v>
      </c>
      <c r="C73" s="40">
        <v>109</v>
      </c>
      <c r="D73" s="14">
        <v>351</v>
      </c>
      <c r="E73" s="15">
        <f t="shared" si="2"/>
        <v>460</v>
      </c>
    </row>
    <row r="74" spans="1:5" ht="12.75">
      <c r="A74" s="9" t="s">
        <v>52</v>
      </c>
      <c r="B74" s="25" t="s">
        <v>53</v>
      </c>
      <c r="C74" s="40">
        <f>452+15</f>
        <v>467</v>
      </c>
      <c r="D74" s="14">
        <f>1068+23</f>
        <v>1091</v>
      </c>
      <c r="E74" s="15">
        <f t="shared" si="2"/>
        <v>1558</v>
      </c>
    </row>
    <row r="75" spans="1:5" ht="12.75">
      <c r="A75" s="9" t="s">
        <v>54</v>
      </c>
      <c r="B75" s="25" t="s">
        <v>55</v>
      </c>
      <c r="C75" s="41">
        <f>SUM(C71:C74)</f>
        <v>744</v>
      </c>
      <c r="D75" s="20">
        <f>SUM(D71:D74)</f>
        <v>1774</v>
      </c>
      <c r="E75" s="12">
        <f t="shared" si="2"/>
        <v>2518</v>
      </c>
    </row>
    <row r="76" spans="1:5" ht="12.75">
      <c r="A76" s="21" t="s">
        <v>56</v>
      </c>
      <c r="B76" s="22" t="s">
        <v>27</v>
      </c>
      <c r="C76" s="42">
        <f>+C36</f>
        <v>109</v>
      </c>
      <c r="D76" s="24">
        <f>+D36</f>
        <v>17</v>
      </c>
      <c r="E76" s="34">
        <f t="shared" si="2"/>
        <v>126</v>
      </c>
    </row>
    <row r="77" spans="1:5" ht="12.75">
      <c r="A77" s="9" t="s">
        <v>57</v>
      </c>
      <c r="B77" s="10" t="s">
        <v>58</v>
      </c>
      <c r="C77" s="41">
        <f>C75-C76</f>
        <v>635</v>
      </c>
      <c r="D77" s="20">
        <f>D75-D76</f>
        <v>1757</v>
      </c>
      <c r="E77" s="12">
        <f t="shared" si="2"/>
        <v>2392</v>
      </c>
    </row>
    <row r="78" spans="1:5" ht="12.75">
      <c r="A78" s="9"/>
      <c r="B78" s="10"/>
      <c r="C78" s="40"/>
      <c r="D78" s="14"/>
      <c r="E78" s="15"/>
    </row>
    <row r="79" spans="1:5" ht="24">
      <c r="A79" s="9" t="s">
        <v>59</v>
      </c>
      <c r="B79" s="10" t="s">
        <v>60</v>
      </c>
      <c r="C79" s="41">
        <f>C52+C59+C66+C68+C77</f>
        <v>1788</v>
      </c>
      <c r="D79" s="20">
        <f>D52+D59+D66+D68+D77</f>
        <v>2216</v>
      </c>
      <c r="E79" s="12">
        <f>SUM(C79:D79)</f>
        <v>4004</v>
      </c>
    </row>
    <row r="80" spans="1:5" ht="12.75">
      <c r="A80" s="9"/>
      <c r="B80" s="27"/>
      <c r="C80" s="40"/>
      <c r="D80" s="14"/>
      <c r="E80" s="15"/>
    </row>
    <row r="81" spans="1:5" ht="12.75">
      <c r="A81" s="9" t="s">
        <v>61</v>
      </c>
      <c r="B81" s="10" t="s">
        <v>62</v>
      </c>
      <c r="C81" s="41">
        <f>15+4</f>
        <v>19</v>
      </c>
      <c r="D81" s="20">
        <f>8+2</f>
        <v>10</v>
      </c>
      <c r="E81" s="12">
        <f>SUM(C81:D81)</f>
        <v>29</v>
      </c>
    </row>
    <row r="82" spans="1:5" ht="12.75">
      <c r="A82" s="9"/>
      <c r="B82" s="27"/>
      <c r="C82" s="40"/>
      <c r="D82" s="14"/>
      <c r="E82" s="15"/>
    </row>
    <row r="83" spans="1:5" ht="24">
      <c r="A83" s="9" t="s">
        <v>63</v>
      </c>
      <c r="B83" s="10" t="s">
        <v>64</v>
      </c>
      <c r="C83" s="41">
        <f>C79+C81</f>
        <v>1807</v>
      </c>
      <c r="D83" s="20">
        <f>D79+D81</f>
        <v>2226</v>
      </c>
      <c r="E83" s="12">
        <f>SUM(C83:D83)</f>
        <v>4033</v>
      </c>
    </row>
    <row r="84" spans="1:5" ht="12.75">
      <c r="A84" s="9"/>
      <c r="B84" s="27"/>
      <c r="C84" s="40"/>
      <c r="D84" s="14"/>
      <c r="E84" s="15"/>
    </row>
    <row r="85" spans="1:5" ht="13.5" thickBot="1">
      <c r="A85" s="28" t="s">
        <v>65</v>
      </c>
      <c r="B85" s="29" t="s">
        <v>66</v>
      </c>
      <c r="C85" s="52">
        <f>+C8+C37-C83</f>
        <v>538</v>
      </c>
      <c r="D85" s="53">
        <f>+D8+D37-D83</f>
        <v>737</v>
      </c>
      <c r="E85" s="30">
        <f>SUM(C85:D85)</f>
        <v>1275</v>
      </c>
    </row>
    <row r="86" spans="1:5" ht="30" customHeight="1">
      <c r="A86" s="69" t="s">
        <v>67</v>
      </c>
      <c r="B86" s="70"/>
      <c r="C86" s="35">
        <f>(C8+C35)-(C76+C83)</f>
        <v>538</v>
      </c>
      <c r="D86" s="35">
        <f>(D8+D35)-(D76+D83)</f>
        <v>737</v>
      </c>
      <c r="E86" s="35">
        <f>(E8+E35)-(E76+E83)</f>
        <v>1275</v>
      </c>
    </row>
    <row r="87" spans="1:5" ht="42.75" customHeight="1">
      <c r="A87" s="67" t="s">
        <v>68</v>
      </c>
      <c r="B87" s="68"/>
      <c r="C87" s="68"/>
      <c r="D87" s="68"/>
      <c r="E87" s="68"/>
    </row>
    <row r="88" spans="1:5" ht="12.75">
      <c r="A88" s="36"/>
      <c r="B88" s="37"/>
      <c r="C88" s="37"/>
      <c r="D88" s="37"/>
      <c r="E88" s="37"/>
    </row>
    <row r="89" spans="1:5" ht="15" customHeight="1">
      <c r="A89" s="62" t="s">
        <v>69</v>
      </c>
      <c r="B89" s="63"/>
      <c r="C89" s="63"/>
      <c r="D89" s="63"/>
      <c r="E89" s="63"/>
    </row>
    <row r="90" ht="12.75">
      <c r="A90" s="31"/>
    </row>
    <row r="91" spans="1:5" ht="45.75" customHeight="1">
      <c r="A91" s="58" t="s">
        <v>70</v>
      </c>
      <c r="B91" s="59"/>
      <c r="C91" s="59"/>
      <c r="D91" s="59"/>
      <c r="E91" s="59"/>
    </row>
    <row r="92" ht="15" customHeight="1">
      <c r="A92" s="32"/>
    </row>
    <row r="93" ht="15.75">
      <c r="A93" s="33" t="s">
        <v>91</v>
      </c>
    </row>
  </sheetData>
  <sheetProtection/>
  <mergeCells count="6">
    <mergeCell ref="A91:E91"/>
    <mergeCell ref="A1:E1"/>
    <mergeCell ref="A89:E89"/>
    <mergeCell ref="C6:E6"/>
    <mergeCell ref="A87:E87"/>
    <mergeCell ref="A86:B86"/>
  </mergeCells>
  <printOptions/>
  <pageMargins left="0.25" right="0.25" top="0.8" bottom="0.33" header="0.48" footer="0.21"/>
  <pageSetup fitToHeight="1" fitToWidth="1" horizontalDpi="600" verticalDpi="600" orientation="portrait" paperSize="5" scale="8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1">
      <selection activeCell="C19" sqref="C19"/>
    </sheetView>
  </sheetViews>
  <sheetFormatPr defaultColWidth="8.8515625" defaultRowHeight="12.75"/>
  <cols>
    <col min="1" max="1" width="2.8515625" style="0" customWidth="1"/>
    <col min="2" max="2" width="69.8515625" style="0" customWidth="1"/>
  </cols>
  <sheetData>
    <row r="1" spans="1:5" ht="18">
      <c r="A1" s="60" t="s">
        <v>71</v>
      </c>
      <c r="B1" s="61"/>
      <c r="C1" s="61"/>
      <c r="D1" s="61"/>
      <c r="E1" s="61"/>
    </row>
    <row r="2" ht="15.75">
      <c r="A2" s="2" t="s">
        <v>0</v>
      </c>
    </row>
    <row r="3" ht="15.75">
      <c r="A3" s="2" t="s">
        <v>1</v>
      </c>
    </row>
    <row r="4" ht="15.75">
      <c r="A4" s="44" t="str">
        <f>+'Jan '!A4</f>
        <v>YEAR: 1/1/2010 - 12/31/2010</v>
      </c>
    </row>
    <row r="5" ht="13.5" thickBot="1">
      <c r="A5" s="3"/>
    </row>
    <row r="6" spans="1:5" ht="13.5" thickBot="1">
      <c r="A6" s="4"/>
      <c r="B6" s="5" t="str">
        <f>+'Jan '!B6</f>
        <v>NAME OF ORGANIZATION:  Miami Dade Coalition</v>
      </c>
      <c r="C6" s="64" t="s">
        <v>76</v>
      </c>
      <c r="D6" s="65"/>
      <c r="E6" s="66"/>
    </row>
    <row r="7" spans="1:5" ht="12.75">
      <c r="A7" s="4"/>
      <c r="B7" s="6"/>
      <c r="C7" s="38" t="s">
        <v>2</v>
      </c>
      <c r="D7" s="7" t="s">
        <v>3</v>
      </c>
      <c r="E7" s="8" t="s">
        <v>4</v>
      </c>
    </row>
    <row r="8" spans="1:5" ht="12.75">
      <c r="A8" s="9" t="s">
        <v>5</v>
      </c>
      <c r="B8" s="10" t="s">
        <v>6</v>
      </c>
      <c r="C8" s="39">
        <f>+'May '!C85</f>
        <v>538</v>
      </c>
      <c r="D8" s="11">
        <f>+'May '!D85</f>
        <v>737</v>
      </c>
      <c r="E8" s="12">
        <f>SUM(C8:D8)</f>
        <v>1275</v>
      </c>
    </row>
    <row r="9" spans="1:5" ht="12.75">
      <c r="A9" s="9"/>
      <c r="B9" s="10"/>
      <c r="C9" s="40"/>
      <c r="D9" s="14"/>
      <c r="E9" s="12"/>
    </row>
    <row r="10" spans="1:5" ht="12.75">
      <c r="A10" s="9"/>
      <c r="B10" s="10" t="s">
        <v>7</v>
      </c>
      <c r="C10" s="40"/>
      <c r="D10" s="14"/>
      <c r="E10" s="15"/>
    </row>
    <row r="11" spans="1:5" ht="12.75">
      <c r="A11" s="9"/>
      <c r="B11" s="16" t="s">
        <v>8</v>
      </c>
      <c r="C11" s="40"/>
      <c r="D11" s="14"/>
      <c r="E11" s="15"/>
    </row>
    <row r="12" spans="1:5" ht="12.75">
      <c r="A12" s="9"/>
      <c r="B12" s="17" t="s">
        <v>9</v>
      </c>
      <c r="C12" s="40">
        <f>950+76+28</f>
        <v>1054</v>
      </c>
      <c r="D12" s="14">
        <f>759+34+60+3</f>
        <v>856</v>
      </c>
      <c r="E12" s="15">
        <f>SUM(C12:D12)</f>
        <v>1910</v>
      </c>
    </row>
    <row r="13" spans="1:5" ht="12.75">
      <c r="A13" s="9"/>
      <c r="B13" s="17" t="s">
        <v>10</v>
      </c>
      <c r="C13" s="40">
        <f>141+11</f>
        <v>152</v>
      </c>
      <c r="D13" s="14">
        <v>379</v>
      </c>
      <c r="E13" s="15">
        <f>SUM(C13:D13)</f>
        <v>531</v>
      </c>
    </row>
    <row r="14" spans="1:5" ht="12.75">
      <c r="A14" s="9"/>
      <c r="B14" s="17" t="s">
        <v>11</v>
      </c>
      <c r="C14" s="40">
        <v>263</v>
      </c>
      <c r="D14" s="14">
        <v>379</v>
      </c>
      <c r="E14" s="15">
        <f>SUM(C14:D14)</f>
        <v>642</v>
      </c>
    </row>
    <row r="15" spans="1:5" ht="12.75">
      <c r="A15" s="9"/>
      <c r="B15" s="17" t="s">
        <v>12</v>
      </c>
      <c r="C15" s="40">
        <v>667</v>
      </c>
      <c r="D15" s="14">
        <v>380</v>
      </c>
      <c r="E15" s="15">
        <f>SUM(C15:D15)</f>
        <v>1047</v>
      </c>
    </row>
    <row r="16" spans="1:5" ht="12.75">
      <c r="A16" s="9" t="s">
        <v>13</v>
      </c>
      <c r="B16" s="18" t="s">
        <v>14</v>
      </c>
      <c r="C16" s="50">
        <f>SUM(C12:C15)</f>
        <v>2136</v>
      </c>
      <c r="D16" s="11">
        <f>SUM(D12:D15)</f>
        <v>1994</v>
      </c>
      <c r="E16" s="19">
        <f>SUM(C16:D16)</f>
        <v>4130</v>
      </c>
    </row>
    <row r="17" spans="1:5" ht="12.75">
      <c r="A17" s="9"/>
      <c r="B17" s="16" t="s">
        <v>15</v>
      </c>
      <c r="C17" s="40"/>
      <c r="D17" s="14"/>
      <c r="E17" s="15"/>
    </row>
    <row r="18" spans="1:5" ht="12.75">
      <c r="A18" s="9"/>
      <c r="B18" s="17" t="s">
        <v>9</v>
      </c>
      <c r="C18" s="40">
        <v>23</v>
      </c>
      <c r="D18" s="14">
        <v>1</v>
      </c>
      <c r="E18" s="15">
        <f>SUM(C18:D18)</f>
        <v>24</v>
      </c>
    </row>
    <row r="19" spans="1:5" ht="12.75">
      <c r="A19" s="9"/>
      <c r="B19" s="17" t="s">
        <v>10</v>
      </c>
      <c r="C19" s="40"/>
      <c r="D19" s="14"/>
      <c r="E19" s="15">
        <f>SUM(C19:D19)</f>
        <v>0</v>
      </c>
    </row>
    <row r="20" spans="1:5" ht="12.75">
      <c r="A20" s="9"/>
      <c r="B20" s="17" t="s">
        <v>11</v>
      </c>
      <c r="C20" s="40"/>
      <c r="D20" s="14"/>
      <c r="E20" s="15">
        <f>SUM(C20:D20)</f>
        <v>0</v>
      </c>
    </row>
    <row r="21" spans="1:5" ht="12.75">
      <c r="A21" s="9"/>
      <c r="B21" s="17" t="s">
        <v>12</v>
      </c>
      <c r="C21" s="40"/>
      <c r="D21" s="14"/>
      <c r="E21" s="15">
        <f>SUM(C21:D21)</f>
        <v>0</v>
      </c>
    </row>
    <row r="22" spans="1:5" ht="12.75">
      <c r="A22" s="9" t="s">
        <v>16</v>
      </c>
      <c r="B22" s="18" t="s">
        <v>95</v>
      </c>
      <c r="C22" s="50">
        <f>SUM(C17:C21)</f>
        <v>23</v>
      </c>
      <c r="D22" s="11">
        <f>SUM(D17:D21)</f>
        <v>1</v>
      </c>
      <c r="E22" s="19">
        <f>SUM(C22:D22)</f>
        <v>24</v>
      </c>
    </row>
    <row r="23" spans="1:5" ht="12.75">
      <c r="A23" s="9"/>
      <c r="B23" s="16" t="s">
        <v>18</v>
      </c>
      <c r="C23" s="40"/>
      <c r="D23" s="14"/>
      <c r="E23" s="15"/>
    </row>
    <row r="24" spans="1:5" ht="12.75">
      <c r="A24" s="9"/>
      <c r="B24" s="17" t="s">
        <v>9</v>
      </c>
      <c r="C24" s="40">
        <v>1</v>
      </c>
      <c r="D24" s="14">
        <v>4</v>
      </c>
      <c r="E24" s="15">
        <f>SUM(C24:D24)</f>
        <v>5</v>
      </c>
    </row>
    <row r="25" spans="1:5" ht="12.75">
      <c r="A25" s="9"/>
      <c r="B25" s="17" t="s">
        <v>10</v>
      </c>
      <c r="C25" s="40"/>
      <c r="D25" s="14"/>
      <c r="E25" s="15">
        <f>SUM(C25:D25)</f>
        <v>0</v>
      </c>
    </row>
    <row r="26" spans="1:5" ht="12.75">
      <c r="A26" s="9"/>
      <c r="B26" s="17" t="s">
        <v>11</v>
      </c>
      <c r="C26" s="40"/>
      <c r="D26" s="14"/>
      <c r="E26" s="15">
        <f>SUM(C26:D26)</f>
        <v>0</v>
      </c>
    </row>
    <row r="27" spans="1:5" ht="12.75">
      <c r="A27" s="9"/>
      <c r="B27" s="17" t="s">
        <v>12</v>
      </c>
      <c r="C27" s="40"/>
      <c r="D27" s="14"/>
      <c r="E27" s="15">
        <f>SUM(C27:D27)</f>
        <v>0</v>
      </c>
    </row>
    <row r="28" spans="1:5" ht="12.75">
      <c r="A28" s="9" t="s">
        <v>19</v>
      </c>
      <c r="B28" s="18" t="s">
        <v>96</v>
      </c>
      <c r="C28" s="39">
        <f>SUM(C24:C27)</f>
        <v>1</v>
      </c>
      <c r="D28" s="11">
        <f>SUM(D24:D27)</f>
        <v>4</v>
      </c>
      <c r="E28" s="19">
        <f>SUM(C28:D28)</f>
        <v>5</v>
      </c>
    </row>
    <row r="29" spans="1:5" ht="12.75">
      <c r="A29" s="9"/>
      <c r="B29" s="16" t="s">
        <v>21</v>
      </c>
      <c r="C29" s="40"/>
      <c r="D29" s="14"/>
      <c r="E29" s="15"/>
    </row>
    <row r="30" spans="1:5" ht="12.75">
      <c r="A30" s="9"/>
      <c r="B30" s="17" t="s">
        <v>9</v>
      </c>
      <c r="C30" s="40"/>
      <c r="D30" s="14"/>
      <c r="E30" s="15">
        <f aca="true" t="shared" si="0" ref="E30:E37">SUM(C30:D30)</f>
        <v>0</v>
      </c>
    </row>
    <row r="31" spans="1:5" ht="12.75">
      <c r="A31" s="9"/>
      <c r="B31" s="17" t="s">
        <v>10</v>
      </c>
      <c r="C31" s="40"/>
      <c r="D31" s="14"/>
      <c r="E31" s="15">
        <f t="shared" si="0"/>
        <v>0</v>
      </c>
    </row>
    <row r="32" spans="1:5" ht="12.75">
      <c r="A32" s="9"/>
      <c r="B32" s="17" t="s">
        <v>11</v>
      </c>
      <c r="C32" s="40"/>
      <c r="D32" s="14"/>
      <c r="E32" s="15">
        <f t="shared" si="0"/>
        <v>0</v>
      </c>
    </row>
    <row r="33" spans="1:5" ht="12.75">
      <c r="A33" s="9"/>
      <c r="B33" s="17" t="s">
        <v>12</v>
      </c>
      <c r="C33" s="40">
        <v>121</v>
      </c>
      <c r="D33" s="14">
        <v>18</v>
      </c>
      <c r="E33" s="15">
        <f t="shared" si="0"/>
        <v>139</v>
      </c>
    </row>
    <row r="34" spans="1:5" ht="12.75">
      <c r="A34" s="9" t="s">
        <v>22</v>
      </c>
      <c r="B34" s="18" t="s">
        <v>23</v>
      </c>
      <c r="C34" s="39">
        <f>SUM(C30:C33)</f>
        <v>121</v>
      </c>
      <c r="D34" s="11">
        <f>SUM(D30:D33)</f>
        <v>18</v>
      </c>
      <c r="E34" s="19">
        <f t="shared" si="0"/>
        <v>139</v>
      </c>
    </row>
    <row r="35" spans="1:5" ht="15">
      <c r="A35" s="9" t="s">
        <v>24</v>
      </c>
      <c r="B35" s="46" t="s">
        <v>97</v>
      </c>
      <c r="C35" s="47">
        <f>C16+C22+C28+C34</f>
        <v>2281</v>
      </c>
      <c r="D35" s="48">
        <f>D16+D22+D28+D34</f>
        <v>2017</v>
      </c>
      <c r="E35" s="49">
        <f t="shared" si="0"/>
        <v>4298</v>
      </c>
    </row>
    <row r="36" spans="1:5" ht="12.75">
      <c r="A36" s="21" t="s">
        <v>26</v>
      </c>
      <c r="B36" s="22" t="s">
        <v>27</v>
      </c>
      <c r="C36" s="42">
        <f>+C33</f>
        <v>121</v>
      </c>
      <c r="D36" s="24">
        <f>+D33</f>
        <v>18</v>
      </c>
      <c r="E36" s="34">
        <f t="shared" si="0"/>
        <v>139</v>
      </c>
    </row>
    <row r="37" spans="1:5" ht="15">
      <c r="A37" s="9" t="s">
        <v>28</v>
      </c>
      <c r="B37" s="46" t="s">
        <v>98</v>
      </c>
      <c r="C37" s="47">
        <f>C35-C36</f>
        <v>2160</v>
      </c>
      <c r="D37" s="48">
        <f>D35-D36</f>
        <v>1999</v>
      </c>
      <c r="E37" s="49">
        <f t="shared" si="0"/>
        <v>4159</v>
      </c>
    </row>
    <row r="38" spans="1:5" ht="12.75">
      <c r="A38" s="9"/>
      <c r="B38" s="25"/>
      <c r="C38" s="40"/>
      <c r="D38" s="14"/>
      <c r="E38" s="15"/>
    </row>
    <row r="39" spans="1:5" ht="12.75">
      <c r="A39" s="9"/>
      <c r="B39" s="10" t="s">
        <v>30</v>
      </c>
      <c r="C39" s="40"/>
      <c r="D39" s="14"/>
      <c r="E39" s="15"/>
    </row>
    <row r="40" spans="1:5" ht="12.75">
      <c r="A40" s="9"/>
      <c r="B40" s="26" t="s">
        <v>31</v>
      </c>
      <c r="C40" s="40"/>
      <c r="D40" s="14"/>
      <c r="E40" s="15"/>
    </row>
    <row r="41" spans="1:5" ht="12.75">
      <c r="A41" s="9"/>
      <c r="B41" s="17" t="s">
        <v>9</v>
      </c>
      <c r="C41" s="40">
        <f>409+62</f>
        <v>471</v>
      </c>
      <c r="D41" s="14">
        <v>126</v>
      </c>
      <c r="E41" s="15">
        <f>SUM(C41:D41)</f>
        <v>597</v>
      </c>
    </row>
    <row r="42" spans="1:5" ht="12.75">
      <c r="A42" s="9"/>
      <c r="B42" s="17" t="s">
        <v>10</v>
      </c>
      <c r="C42" s="40">
        <v>185</v>
      </c>
      <c r="D42" s="14">
        <v>11</v>
      </c>
      <c r="E42" s="15">
        <f>SUM(C42:D42)</f>
        <v>196</v>
      </c>
    </row>
    <row r="43" spans="1:5" ht="12.75">
      <c r="A43" s="9"/>
      <c r="B43" s="17" t="s">
        <v>11</v>
      </c>
      <c r="C43" s="40">
        <v>19</v>
      </c>
      <c r="D43" s="14">
        <v>2</v>
      </c>
      <c r="E43" s="15">
        <f>SUM(C43:D43)</f>
        <v>21</v>
      </c>
    </row>
    <row r="44" spans="1:5" ht="12.75">
      <c r="A44" s="9"/>
      <c r="B44" s="17" t="s">
        <v>12</v>
      </c>
      <c r="C44" s="40">
        <v>6</v>
      </c>
      <c r="D44" s="14">
        <v>0</v>
      </c>
      <c r="E44" s="15">
        <f>SUM(C44:D44)</f>
        <v>6</v>
      </c>
    </row>
    <row r="45" spans="1:5" ht="12.75">
      <c r="A45" s="9"/>
      <c r="B45" s="18" t="s">
        <v>99</v>
      </c>
      <c r="C45" s="50">
        <f>SUM(C41:C44)</f>
        <v>681</v>
      </c>
      <c r="D45" s="11">
        <f>SUM(D41:D44)</f>
        <v>139</v>
      </c>
      <c r="E45" s="19">
        <f>SUM(C45:D45)</f>
        <v>820</v>
      </c>
    </row>
    <row r="46" spans="1:5" ht="12.75">
      <c r="A46" s="9"/>
      <c r="B46" s="26" t="s">
        <v>33</v>
      </c>
      <c r="C46" s="40"/>
      <c r="D46" s="14"/>
      <c r="E46" s="15"/>
    </row>
    <row r="47" spans="1:5" ht="12.75">
      <c r="A47" s="9"/>
      <c r="B47" s="17" t="s">
        <v>9</v>
      </c>
      <c r="C47" s="40">
        <v>32</v>
      </c>
      <c r="D47" s="14">
        <f>42+3</f>
        <v>45</v>
      </c>
      <c r="E47" s="15">
        <f aca="true" t="shared" si="1" ref="E47:E52">SUM(C47:D47)</f>
        <v>77</v>
      </c>
    </row>
    <row r="48" spans="1:5" ht="12.75">
      <c r="A48" s="9"/>
      <c r="B48" s="17" t="s">
        <v>10</v>
      </c>
      <c r="C48" s="40">
        <v>9</v>
      </c>
      <c r="D48" s="14"/>
      <c r="E48" s="15">
        <f t="shared" si="1"/>
        <v>9</v>
      </c>
    </row>
    <row r="49" spans="1:5" ht="12.75">
      <c r="A49" s="9"/>
      <c r="B49" s="17" t="s">
        <v>11</v>
      </c>
      <c r="C49" s="40"/>
      <c r="D49" s="14"/>
      <c r="E49" s="15">
        <f t="shared" si="1"/>
        <v>0</v>
      </c>
    </row>
    <row r="50" spans="1:5" ht="12.75">
      <c r="A50" s="9"/>
      <c r="B50" s="17" t="s">
        <v>12</v>
      </c>
      <c r="C50" s="40"/>
      <c r="D50" s="14"/>
      <c r="E50" s="15">
        <f t="shared" si="1"/>
        <v>0</v>
      </c>
    </row>
    <row r="51" spans="1:5" ht="24">
      <c r="A51" s="9"/>
      <c r="B51" s="18" t="s">
        <v>100</v>
      </c>
      <c r="C51" s="50">
        <f>SUM(C47:C50)</f>
        <v>41</v>
      </c>
      <c r="D51" s="11">
        <f>SUM(D47:D50)</f>
        <v>45</v>
      </c>
      <c r="E51" s="19">
        <f t="shared" si="1"/>
        <v>86</v>
      </c>
    </row>
    <row r="52" spans="1:5" ht="12.75">
      <c r="A52" s="54" t="s">
        <v>35</v>
      </c>
      <c r="B52" s="55" t="s">
        <v>36</v>
      </c>
      <c r="C52" s="51">
        <f>+C51+C45</f>
        <v>722</v>
      </c>
      <c r="D52" s="20">
        <f>+D51+D45</f>
        <v>184</v>
      </c>
      <c r="E52" s="12">
        <f t="shared" si="1"/>
        <v>906</v>
      </c>
    </row>
    <row r="53" spans="1:5" ht="12.75">
      <c r="A53" s="9"/>
      <c r="B53" s="10"/>
      <c r="C53" s="40"/>
      <c r="D53" s="14"/>
      <c r="E53" s="15"/>
    </row>
    <row r="54" spans="1:5" ht="12.75">
      <c r="A54" s="9"/>
      <c r="B54" s="10" t="s">
        <v>37</v>
      </c>
      <c r="C54" s="40"/>
      <c r="D54" s="14"/>
      <c r="E54" s="15"/>
    </row>
    <row r="55" spans="1:5" ht="12.75">
      <c r="A55" s="9"/>
      <c r="B55" s="17" t="s">
        <v>9</v>
      </c>
      <c r="C55" s="40">
        <v>23</v>
      </c>
      <c r="D55" s="14">
        <v>1</v>
      </c>
      <c r="E55" s="15">
        <f>SUM(C55:D55)</f>
        <v>24</v>
      </c>
    </row>
    <row r="56" spans="1:5" ht="12.75">
      <c r="A56" s="9"/>
      <c r="B56" s="17" t="s">
        <v>10</v>
      </c>
      <c r="C56" s="40"/>
      <c r="D56" s="14"/>
      <c r="E56" s="15">
        <f>SUM(C56:D56)</f>
        <v>0</v>
      </c>
    </row>
    <row r="57" spans="1:5" ht="12.75">
      <c r="A57" s="9"/>
      <c r="B57" s="17" t="s">
        <v>11</v>
      </c>
      <c r="C57" s="40"/>
      <c r="D57" s="14"/>
      <c r="E57" s="15">
        <f>SUM(C57:D57)</f>
        <v>0</v>
      </c>
    </row>
    <row r="58" spans="1:5" ht="12.75">
      <c r="A58" s="9"/>
      <c r="B58" s="17" t="s">
        <v>12</v>
      </c>
      <c r="C58" s="40"/>
      <c r="D58" s="14"/>
      <c r="E58" s="15">
        <f>SUM(C58:D58)</f>
        <v>0</v>
      </c>
    </row>
    <row r="59" spans="1:5" ht="12.75">
      <c r="A59" s="54" t="s">
        <v>38</v>
      </c>
      <c r="B59" s="57" t="s">
        <v>101</v>
      </c>
      <c r="C59" s="41">
        <f>SUM(C55:C58)</f>
        <v>23</v>
      </c>
      <c r="D59" s="20">
        <f>SUM(D55:D58)</f>
        <v>1</v>
      </c>
      <c r="E59" s="12">
        <f>SUM(C59:D59)</f>
        <v>24</v>
      </c>
    </row>
    <row r="60" spans="1:5" ht="12.75">
      <c r="A60" s="9"/>
      <c r="B60" s="10"/>
      <c r="C60" s="40"/>
      <c r="D60" s="14"/>
      <c r="E60" s="15"/>
    </row>
    <row r="61" spans="1:5" ht="12.75">
      <c r="A61" s="9"/>
      <c r="B61" s="10" t="s">
        <v>40</v>
      </c>
      <c r="C61" s="40"/>
      <c r="D61" s="14"/>
      <c r="E61" s="15"/>
    </row>
    <row r="62" spans="1:5" ht="12.75">
      <c r="A62" s="9"/>
      <c r="B62" s="17" t="s">
        <v>9</v>
      </c>
      <c r="C62" s="40">
        <v>210</v>
      </c>
      <c r="D62" s="14">
        <v>4</v>
      </c>
      <c r="E62" s="15">
        <f>SUM(C62:D62)</f>
        <v>214</v>
      </c>
    </row>
    <row r="63" spans="1:5" ht="12.75">
      <c r="A63" s="9"/>
      <c r="B63" s="17" t="s">
        <v>10</v>
      </c>
      <c r="C63" s="40">
        <v>11</v>
      </c>
      <c r="D63" s="14">
        <v>1</v>
      </c>
      <c r="E63" s="15">
        <f>SUM(C63:D63)</f>
        <v>12</v>
      </c>
    </row>
    <row r="64" spans="1:5" ht="12.75">
      <c r="A64" s="9"/>
      <c r="B64" s="17" t="s">
        <v>11</v>
      </c>
      <c r="C64" s="40">
        <v>2</v>
      </c>
      <c r="D64" s="14">
        <v>0</v>
      </c>
      <c r="E64" s="15">
        <f>SUM(C64:D64)</f>
        <v>2</v>
      </c>
    </row>
    <row r="65" spans="1:5" ht="12.75">
      <c r="A65" s="9"/>
      <c r="B65" s="17" t="s">
        <v>12</v>
      </c>
      <c r="C65" s="40">
        <v>5</v>
      </c>
      <c r="D65" s="14">
        <v>0</v>
      </c>
      <c r="E65" s="15">
        <f>SUM(C65:D65)</f>
        <v>5</v>
      </c>
    </row>
    <row r="66" spans="1:5" ht="12.75">
      <c r="A66" s="54" t="s">
        <v>41</v>
      </c>
      <c r="B66" s="57" t="s">
        <v>102</v>
      </c>
      <c r="C66" s="41">
        <f>SUM(C62:C65)</f>
        <v>228</v>
      </c>
      <c r="D66" s="20">
        <f>SUM(D62:D65)</f>
        <v>5</v>
      </c>
      <c r="E66" s="12">
        <f>SUM(C66:D66)</f>
        <v>233</v>
      </c>
    </row>
    <row r="67" spans="1:5" ht="12.75">
      <c r="A67" s="9"/>
      <c r="B67" s="10"/>
      <c r="C67" s="40"/>
      <c r="D67" s="14"/>
      <c r="E67" s="15"/>
    </row>
    <row r="68" spans="1:5" ht="12.75">
      <c r="A68" s="9" t="s">
        <v>43</v>
      </c>
      <c r="B68" s="10" t="s">
        <v>44</v>
      </c>
      <c r="C68" s="41">
        <f>138+3</f>
        <v>141</v>
      </c>
      <c r="D68" s="20">
        <v>8</v>
      </c>
      <c r="E68" s="12">
        <f>SUM(C68:D68)</f>
        <v>149</v>
      </c>
    </row>
    <row r="69" spans="1:5" ht="12.75">
      <c r="A69" s="9"/>
      <c r="B69" s="10"/>
      <c r="C69" s="40"/>
      <c r="D69" s="14"/>
      <c r="E69" s="15"/>
    </row>
    <row r="70" spans="1:5" ht="12.75">
      <c r="A70" s="9"/>
      <c r="B70" s="10" t="s">
        <v>45</v>
      </c>
      <c r="C70" s="40"/>
      <c r="D70" s="14"/>
      <c r="E70" s="15"/>
    </row>
    <row r="71" spans="1:5" ht="12.75">
      <c r="A71" s="9" t="s">
        <v>46</v>
      </c>
      <c r="B71" s="25" t="s">
        <v>47</v>
      </c>
      <c r="C71" s="40">
        <v>32</v>
      </c>
      <c r="D71" s="14">
        <v>51</v>
      </c>
      <c r="E71" s="15">
        <f aca="true" t="shared" si="2" ref="E71:E77">SUM(C71:D71)</f>
        <v>83</v>
      </c>
    </row>
    <row r="72" spans="1:5" ht="12.75">
      <c r="A72" s="9" t="s">
        <v>48</v>
      </c>
      <c r="B72" s="25" t="s">
        <v>49</v>
      </c>
      <c r="C72" s="40">
        <v>212</v>
      </c>
      <c r="D72" s="14">
        <v>272</v>
      </c>
      <c r="E72" s="15">
        <f t="shared" si="2"/>
        <v>484</v>
      </c>
    </row>
    <row r="73" spans="1:5" ht="12.75">
      <c r="A73" s="9" t="s">
        <v>50</v>
      </c>
      <c r="B73" s="25" t="s">
        <v>51</v>
      </c>
      <c r="C73" s="40">
        <v>158</v>
      </c>
      <c r="D73" s="14">
        <v>340</v>
      </c>
      <c r="E73" s="15">
        <f t="shared" si="2"/>
        <v>498</v>
      </c>
    </row>
    <row r="74" spans="1:5" ht="12.75">
      <c r="A74" s="9" t="s">
        <v>52</v>
      </c>
      <c r="B74" s="25" t="s">
        <v>53</v>
      </c>
      <c r="C74" s="40">
        <f>657+4</f>
        <v>661</v>
      </c>
      <c r="D74" s="14">
        <v>1036</v>
      </c>
      <c r="E74" s="15">
        <f t="shared" si="2"/>
        <v>1697</v>
      </c>
    </row>
    <row r="75" spans="1:5" ht="12.75">
      <c r="A75" s="9" t="s">
        <v>54</v>
      </c>
      <c r="B75" s="25" t="s">
        <v>55</v>
      </c>
      <c r="C75" s="41">
        <f>SUM(C71:C74)</f>
        <v>1063</v>
      </c>
      <c r="D75" s="20">
        <f>SUM(D71:D74)</f>
        <v>1699</v>
      </c>
      <c r="E75" s="12">
        <f t="shared" si="2"/>
        <v>2762</v>
      </c>
    </row>
    <row r="76" spans="1:5" ht="12.75">
      <c r="A76" s="21" t="s">
        <v>56</v>
      </c>
      <c r="B76" s="22" t="s">
        <v>27</v>
      </c>
      <c r="C76" s="42">
        <f>+C36</f>
        <v>121</v>
      </c>
      <c r="D76" s="24">
        <f>+D36</f>
        <v>18</v>
      </c>
      <c r="E76" s="34">
        <f t="shared" si="2"/>
        <v>139</v>
      </c>
    </row>
    <row r="77" spans="1:5" ht="12.75">
      <c r="A77" s="9" t="s">
        <v>57</v>
      </c>
      <c r="B77" s="10" t="s">
        <v>58</v>
      </c>
      <c r="C77" s="41">
        <f>C75-C76</f>
        <v>942</v>
      </c>
      <c r="D77" s="20">
        <f>D75-D76</f>
        <v>1681</v>
      </c>
      <c r="E77" s="12">
        <f t="shared" si="2"/>
        <v>2623</v>
      </c>
    </row>
    <row r="78" spans="1:5" ht="12.75">
      <c r="A78" s="9"/>
      <c r="B78" s="10"/>
      <c r="C78" s="40"/>
      <c r="D78" s="14"/>
      <c r="E78" s="15"/>
    </row>
    <row r="79" spans="1:5" ht="24">
      <c r="A79" s="9" t="s">
        <v>59</v>
      </c>
      <c r="B79" s="10" t="s">
        <v>60</v>
      </c>
      <c r="C79" s="41">
        <f>C52+C59+C66+C68+C77</f>
        <v>2056</v>
      </c>
      <c r="D79" s="20">
        <f>D52+D59+D66+D68+D77</f>
        <v>1879</v>
      </c>
      <c r="E79" s="12">
        <f>SUM(C79:D79)</f>
        <v>3935</v>
      </c>
    </row>
    <row r="80" spans="1:5" ht="12.75">
      <c r="A80" s="9"/>
      <c r="B80" s="27"/>
      <c r="C80" s="40"/>
      <c r="D80" s="14"/>
      <c r="E80" s="15"/>
    </row>
    <row r="81" spans="1:5" ht="12.75">
      <c r="A81" s="9" t="s">
        <v>61</v>
      </c>
      <c r="B81" s="10" t="s">
        <v>62</v>
      </c>
      <c r="C81" s="41">
        <f>24+1</f>
        <v>25</v>
      </c>
      <c r="D81" s="20">
        <f>8+3</f>
        <v>11</v>
      </c>
      <c r="E81" s="12">
        <f>SUM(C81:D81)</f>
        <v>36</v>
      </c>
    </row>
    <row r="82" spans="1:5" ht="12.75">
      <c r="A82" s="9"/>
      <c r="B82" s="27"/>
      <c r="C82" s="40"/>
      <c r="D82" s="14"/>
      <c r="E82" s="15"/>
    </row>
    <row r="83" spans="1:5" ht="24">
      <c r="A83" s="9" t="s">
        <v>63</v>
      </c>
      <c r="B83" s="10" t="s">
        <v>64</v>
      </c>
      <c r="C83" s="41">
        <f>C79+C81</f>
        <v>2081</v>
      </c>
      <c r="D83" s="20">
        <f>D79+D81</f>
        <v>1890</v>
      </c>
      <c r="E83" s="12">
        <f>SUM(C83:D83)</f>
        <v>3971</v>
      </c>
    </row>
    <row r="84" spans="1:5" ht="12.75">
      <c r="A84" s="9"/>
      <c r="B84" s="27"/>
      <c r="C84" s="40"/>
      <c r="D84" s="14"/>
      <c r="E84" s="15"/>
    </row>
    <row r="85" spans="1:5" ht="13.5" thickBot="1">
      <c r="A85" s="28" t="s">
        <v>65</v>
      </c>
      <c r="B85" s="29" t="s">
        <v>66</v>
      </c>
      <c r="C85" s="52">
        <f>+C8+C37-C83</f>
        <v>617</v>
      </c>
      <c r="D85" s="53">
        <f>+D8+D37-D83</f>
        <v>846</v>
      </c>
      <c r="E85" s="30">
        <f>SUM(C85:D85)</f>
        <v>1463</v>
      </c>
    </row>
    <row r="86" spans="1:5" ht="30" customHeight="1">
      <c r="A86" s="69" t="s">
        <v>67</v>
      </c>
      <c r="B86" s="70"/>
      <c r="C86" s="35">
        <f>(C8+C35)-(C76+C83)</f>
        <v>617</v>
      </c>
      <c r="D86" s="35">
        <f>(D8+D35)-(D76+D83)</f>
        <v>846</v>
      </c>
      <c r="E86" s="35">
        <f>(E8+E35)-(E76+E83)</f>
        <v>1463</v>
      </c>
    </row>
    <row r="87" spans="1:5" ht="42.75" customHeight="1">
      <c r="A87" s="67" t="s">
        <v>68</v>
      </c>
      <c r="B87" s="68"/>
      <c r="C87" s="68"/>
      <c r="D87" s="68"/>
      <c r="E87" s="68"/>
    </row>
    <row r="88" spans="1:5" ht="12.75">
      <c r="A88" s="36"/>
      <c r="B88" s="37"/>
      <c r="C88" s="37"/>
      <c r="D88" s="37"/>
      <c r="E88" s="37"/>
    </row>
    <row r="89" spans="1:5" ht="15" customHeight="1">
      <c r="A89" s="62" t="s">
        <v>69</v>
      </c>
      <c r="B89" s="63"/>
      <c r="C89" s="63"/>
      <c r="D89" s="63"/>
      <c r="E89" s="63"/>
    </row>
    <row r="90" ht="12.75">
      <c r="A90" s="31"/>
    </row>
    <row r="91" spans="1:5" ht="45.75" customHeight="1">
      <c r="A91" s="58" t="s">
        <v>70</v>
      </c>
      <c r="B91" s="59"/>
      <c r="C91" s="59"/>
      <c r="D91" s="59"/>
      <c r="E91" s="59"/>
    </row>
    <row r="92" ht="15" customHeight="1">
      <c r="A92" s="32"/>
    </row>
    <row r="93" ht="15.75">
      <c r="A93" s="33" t="s">
        <v>91</v>
      </c>
    </row>
  </sheetData>
  <sheetProtection/>
  <mergeCells count="6">
    <mergeCell ref="A91:E91"/>
    <mergeCell ref="A1:E1"/>
    <mergeCell ref="A89:E89"/>
    <mergeCell ref="C6:E6"/>
    <mergeCell ref="A87:E87"/>
    <mergeCell ref="A86:B86"/>
  </mergeCells>
  <printOptions/>
  <pageMargins left="0.25" right="0.25" top="0.8" bottom="0.33" header="0.48" footer="0.21"/>
  <pageSetup fitToHeight="1" fitToWidth="1" horizontalDpi="600" verticalDpi="600" orientation="portrait" paperSize="5" scale="8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1">
      <selection activeCell="B6" sqref="B6"/>
    </sheetView>
  </sheetViews>
  <sheetFormatPr defaultColWidth="8.8515625" defaultRowHeight="12.75"/>
  <cols>
    <col min="1" max="1" width="2.8515625" style="0" customWidth="1"/>
    <col min="2" max="2" width="69.8515625" style="0" customWidth="1"/>
  </cols>
  <sheetData>
    <row r="1" spans="1:5" ht="18">
      <c r="A1" s="60" t="s">
        <v>71</v>
      </c>
      <c r="B1" s="61"/>
      <c r="C1" s="61"/>
      <c r="D1" s="61"/>
      <c r="E1" s="61"/>
    </row>
    <row r="2" ht="15.75">
      <c r="A2" s="2" t="s">
        <v>0</v>
      </c>
    </row>
    <row r="3" ht="15.75">
      <c r="A3" s="2" t="s">
        <v>1</v>
      </c>
    </row>
    <row r="4" ht="15.75">
      <c r="A4" s="44" t="str">
        <f>+'Jan '!A4</f>
        <v>YEAR: 1/1/2010 - 12/31/2010</v>
      </c>
    </row>
    <row r="5" ht="13.5" thickBot="1">
      <c r="A5" s="3"/>
    </row>
    <row r="6" spans="1:5" ht="13.5" thickBot="1">
      <c r="A6" s="4"/>
      <c r="B6" s="5" t="str">
        <f>+'Jan '!B6</f>
        <v>NAME OF ORGANIZATION:  Miami Dade Coalition</v>
      </c>
      <c r="C6" s="71" t="s">
        <v>79</v>
      </c>
      <c r="D6" s="72"/>
      <c r="E6" s="73"/>
    </row>
    <row r="7" spans="1:5" ht="12.75">
      <c r="A7" s="4"/>
      <c r="B7" s="6"/>
      <c r="C7" s="38" t="s">
        <v>2</v>
      </c>
      <c r="D7" s="7" t="s">
        <v>3</v>
      </c>
      <c r="E7" s="8" t="s">
        <v>4</v>
      </c>
    </row>
    <row r="8" spans="1:5" ht="12.75">
      <c r="A8" s="9" t="s">
        <v>5</v>
      </c>
      <c r="B8" s="10" t="s">
        <v>6</v>
      </c>
      <c r="C8" s="39">
        <f>+'Mar '!C85</f>
        <v>403</v>
      </c>
      <c r="D8" s="11">
        <f>+'Mar '!D85</f>
        <v>741</v>
      </c>
      <c r="E8" s="12">
        <f>SUM(C8:D8)</f>
        <v>1144</v>
      </c>
    </row>
    <row r="9" spans="1:5" ht="12.75">
      <c r="A9" s="9"/>
      <c r="B9" s="10"/>
      <c r="C9" s="40"/>
      <c r="D9" s="14"/>
      <c r="E9" s="15"/>
    </row>
    <row r="10" spans="1:5" ht="12.75">
      <c r="A10" s="9"/>
      <c r="B10" s="10" t="s">
        <v>7</v>
      </c>
      <c r="C10" s="40"/>
      <c r="D10" s="14"/>
      <c r="E10" s="15"/>
    </row>
    <row r="11" spans="1:5" ht="12.75">
      <c r="A11" s="9"/>
      <c r="B11" s="16" t="s">
        <v>8</v>
      </c>
      <c r="C11" s="40"/>
      <c r="D11" s="14"/>
      <c r="E11" s="15"/>
    </row>
    <row r="12" spans="1:5" ht="12.75">
      <c r="A12" s="9"/>
      <c r="B12" s="17" t="s">
        <v>9</v>
      </c>
      <c r="C12" s="40">
        <f>SUM('Apr '!C12,'May '!C12,'Jun '!C12)</f>
        <v>2759</v>
      </c>
      <c r="D12" s="13">
        <f>SUM('Apr '!D12,'May '!D12,'Jun '!D12)</f>
        <v>2322</v>
      </c>
      <c r="E12" s="15">
        <f>SUM(C12:D12)</f>
        <v>5081</v>
      </c>
    </row>
    <row r="13" spans="1:5" ht="12.75">
      <c r="A13" s="9"/>
      <c r="B13" s="17" t="s">
        <v>10</v>
      </c>
      <c r="C13" s="40">
        <f>SUM('Apr '!C13,'May '!C13,'Jun '!C13)</f>
        <v>409</v>
      </c>
      <c r="D13" s="13">
        <f>SUM('Apr '!D13,'May '!D13,'Jun '!D13)</f>
        <v>1035</v>
      </c>
      <c r="E13" s="15">
        <f>SUM(C13:D13)</f>
        <v>1444</v>
      </c>
    </row>
    <row r="14" spans="1:5" ht="12.75">
      <c r="A14" s="9"/>
      <c r="B14" s="17" t="s">
        <v>11</v>
      </c>
      <c r="C14" s="40">
        <f>SUM('Apr '!C14,'May '!C14,'Jun '!C14)</f>
        <v>689</v>
      </c>
      <c r="D14" s="13">
        <f>SUM('Apr '!D14,'May '!D14,'Jun '!D14)</f>
        <v>1032</v>
      </c>
      <c r="E14" s="15">
        <f>SUM(C14:D14)</f>
        <v>1721</v>
      </c>
    </row>
    <row r="15" spans="1:5" ht="12.75">
      <c r="A15" s="9"/>
      <c r="B15" s="17" t="s">
        <v>12</v>
      </c>
      <c r="C15" s="40">
        <f>SUM('Apr '!C15,'May '!C15,'Jun '!C15)</f>
        <v>1745</v>
      </c>
      <c r="D15" s="13">
        <f>SUM('Apr '!D15,'May '!D15,'Jun '!D15)</f>
        <v>1035</v>
      </c>
      <c r="E15" s="15">
        <f>SUM(C15:D15)</f>
        <v>2780</v>
      </c>
    </row>
    <row r="16" spans="1:5" ht="12.75">
      <c r="A16" s="9" t="s">
        <v>13</v>
      </c>
      <c r="B16" s="18" t="s">
        <v>14</v>
      </c>
      <c r="C16" s="39">
        <f>SUM(C12:C15)</f>
        <v>5602</v>
      </c>
      <c r="D16" s="11">
        <f>SUM(D12:D15)</f>
        <v>5424</v>
      </c>
      <c r="E16" s="19">
        <f>SUM(C16:D16)</f>
        <v>11026</v>
      </c>
    </row>
    <row r="17" spans="1:5" ht="12.75">
      <c r="A17" s="9"/>
      <c r="B17" s="16" t="s">
        <v>15</v>
      </c>
      <c r="C17" s="40"/>
      <c r="D17" s="14"/>
      <c r="E17" s="15"/>
    </row>
    <row r="18" spans="1:5" ht="12.75">
      <c r="A18" s="9"/>
      <c r="B18" s="17" t="s">
        <v>9</v>
      </c>
      <c r="C18" s="40">
        <f>SUM('Apr '!C18,'May '!C18,'Jun '!C18)</f>
        <v>56</v>
      </c>
      <c r="D18" s="13">
        <f>SUM('Apr '!D18,'May '!D18,'Jun '!D18)</f>
        <v>57</v>
      </c>
      <c r="E18" s="15">
        <f>SUM(C18:D18)</f>
        <v>113</v>
      </c>
    </row>
    <row r="19" spans="1:5" ht="12.75">
      <c r="A19" s="9"/>
      <c r="B19" s="17" t="s">
        <v>10</v>
      </c>
      <c r="C19" s="40">
        <f>SUM('Apr '!C19,'May '!C19,'Jun '!C19)</f>
        <v>0</v>
      </c>
      <c r="D19" s="13">
        <f>SUM('Apr '!D19,'May '!D19,'Jun '!D19)</f>
        <v>0</v>
      </c>
      <c r="E19" s="15">
        <f>SUM(C19:D19)</f>
        <v>0</v>
      </c>
    </row>
    <row r="20" spans="1:5" ht="12.75">
      <c r="A20" s="9"/>
      <c r="B20" s="17" t="s">
        <v>11</v>
      </c>
      <c r="C20" s="40">
        <f>SUM('Apr '!C20,'May '!C20,'Jun '!C20)</f>
        <v>0</v>
      </c>
      <c r="D20" s="13">
        <f>SUM('Apr '!D20,'May '!D20,'Jun '!D20)</f>
        <v>0</v>
      </c>
      <c r="E20" s="15">
        <f>SUM(C20:D20)</f>
        <v>0</v>
      </c>
    </row>
    <row r="21" spans="1:5" ht="12.75">
      <c r="A21" s="9"/>
      <c r="B21" s="17" t="s">
        <v>12</v>
      </c>
      <c r="C21" s="40">
        <f>SUM('Apr '!C21,'May '!C21,'Jun '!C21)</f>
        <v>4</v>
      </c>
      <c r="D21" s="13">
        <f>SUM('Apr '!D21,'May '!D21,'Jun '!D21)</f>
        <v>0</v>
      </c>
      <c r="E21" s="15">
        <f>SUM(C21:D21)</f>
        <v>4</v>
      </c>
    </row>
    <row r="22" spans="1:5" ht="12.75">
      <c r="A22" s="9" t="s">
        <v>16</v>
      </c>
      <c r="B22" s="18" t="s">
        <v>17</v>
      </c>
      <c r="C22" s="39">
        <f>SUM(C18:C21)</f>
        <v>60</v>
      </c>
      <c r="D22" s="11">
        <f>SUM(D18:D21)</f>
        <v>57</v>
      </c>
      <c r="E22" s="19">
        <f>SUM(C22:D22)</f>
        <v>117</v>
      </c>
    </row>
    <row r="23" spans="1:5" ht="12.75">
      <c r="A23" s="9"/>
      <c r="B23" s="16" t="s">
        <v>18</v>
      </c>
      <c r="C23" s="40"/>
      <c r="D23" s="14"/>
      <c r="E23" s="15"/>
    </row>
    <row r="24" spans="1:5" ht="12.75">
      <c r="A24" s="9"/>
      <c r="B24" s="17" t="s">
        <v>9</v>
      </c>
      <c r="C24" s="40">
        <f>SUM('Apr '!C24,'May '!C24,'Jun '!C24)</f>
        <v>20</v>
      </c>
      <c r="D24" s="13">
        <f>SUM('Apr '!D24,'May '!D24,'Jun '!D24)</f>
        <v>77</v>
      </c>
      <c r="E24" s="15">
        <f>SUM(C24:D24)</f>
        <v>97</v>
      </c>
    </row>
    <row r="25" spans="1:5" ht="12.75">
      <c r="A25" s="9"/>
      <c r="B25" s="17" t="s">
        <v>10</v>
      </c>
      <c r="C25" s="40">
        <f>SUM('Apr '!C25,'May '!C25,'Jun '!C25)</f>
        <v>0</v>
      </c>
      <c r="D25" s="13">
        <f>SUM('Apr '!D25,'May '!D25,'Jun '!D25)</f>
        <v>0</v>
      </c>
      <c r="E25" s="15">
        <f>SUM(C25:D25)</f>
        <v>0</v>
      </c>
    </row>
    <row r="26" spans="1:5" ht="12.75">
      <c r="A26" s="9"/>
      <c r="B26" s="17" t="s">
        <v>11</v>
      </c>
      <c r="C26" s="40">
        <f>SUM('Apr '!C26,'May '!C26,'Jun '!C26)</f>
        <v>0</v>
      </c>
      <c r="D26" s="13">
        <f>SUM('Apr '!D26,'May '!D26,'Jun '!D26)</f>
        <v>0</v>
      </c>
      <c r="E26" s="15">
        <f>SUM(C26:D26)</f>
        <v>0</v>
      </c>
    </row>
    <row r="27" spans="1:5" ht="12.75">
      <c r="A27" s="9"/>
      <c r="B27" s="17" t="s">
        <v>12</v>
      </c>
      <c r="C27" s="40">
        <f>SUM('Apr '!C27,'May '!C27,'Jun '!C27)</f>
        <v>0</v>
      </c>
      <c r="D27" s="13">
        <f>SUM('Apr '!D27,'May '!D27,'Jun '!D27)</f>
        <v>0</v>
      </c>
      <c r="E27" s="15">
        <f>SUM(C27:D27)</f>
        <v>0</v>
      </c>
    </row>
    <row r="28" spans="1:5" ht="12.75">
      <c r="A28" s="9" t="s">
        <v>19</v>
      </c>
      <c r="B28" s="18" t="s">
        <v>20</v>
      </c>
      <c r="C28" s="39">
        <f>SUM(C24:C27)</f>
        <v>20</v>
      </c>
      <c r="D28" s="11">
        <f>SUM(D24:D27)</f>
        <v>77</v>
      </c>
      <c r="E28" s="19">
        <f>SUM(C28:D28)</f>
        <v>97</v>
      </c>
    </row>
    <row r="29" spans="1:5" ht="12.75">
      <c r="A29" s="9"/>
      <c r="B29" s="16" t="s">
        <v>21</v>
      </c>
      <c r="C29" s="40"/>
      <c r="D29" s="14"/>
      <c r="E29" s="15"/>
    </row>
    <row r="30" spans="1:5" ht="12.75">
      <c r="A30" s="9"/>
      <c r="B30" s="17" t="s">
        <v>9</v>
      </c>
      <c r="C30" s="40">
        <f>SUM('Apr '!C30,'May '!C30,'Jun '!C30)</f>
        <v>4</v>
      </c>
      <c r="D30" s="13">
        <f>SUM('Apr '!D30,'May '!D30,'Jun '!D30)</f>
        <v>0</v>
      </c>
      <c r="E30" s="15">
        <f aca="true" t="shared" si="0" ref="E30:E37">SUM(C30:D30)</f>
        <v>4</v>
      </c>
    </row>
    <row r="31" spans="1:5" ht="12.75">
      <c r="A31" s="9"/>
      <c r="B31" s="17" t="s">
        <v>10</v>
      </c>
      <c r="C31" s="40">
        <f>SUM('Apr '!C31,'May '!C31,'Jun '!C31)</f>
        <v>0</v>
      </c>
      <c r="D31" s="13">
        <f>SUM('Apr '!D31,'May '!D31,'Jun '!D31)</f>
        <v>0</v>
      </c>
      <c r="E31" s="15">
        <f t="shared" si="0"/>
        <v>0</v>
      </c>
    </row>
    <row r="32" spans="1:5" ht="12.75">
      <c r="A32" s="9"/>
      <c r="B32" s="17" t="s">
        <v>11</v>
      </c>
      <c r="C32" s="40">
        <f>SUM('Apr '!C32,'May '!C32,'Jun '!C32)</f>
        <v>0</v>
      </c>
      <c r="D32" s="13">
        <f>SUM('Apr '!D32,'May '!D32,'Jun '!D32)</f>
        <v>0</v>
      </c>
      <c r="E32" s="15">
        <f t="shared" si="0"/>
        <v>0</v>
      </c>
    </row>
    <row r="33" spans="1:5" ht="12.75">
      <c r="A33" s="9"/>
      <c r="B33" s="17" t="s">
        <v>12</v>
      </c>
      <c r="C33" s="40">
        <f>SUM('Apr '!C33,'May '!C33,'Jun '!C33)</f>
        <v>305</v>
      </c>
      <c r="D33" s="13">
        <f>SUM('Apr '!D33,'May '!D33,'Jun '!D33)</f>
        <v>51</v>
      </c>
      <c r="E33" s="15">
        <f t="shared" si="0"/>
        <v>356</v>
      </c>
    </row>
    <row r="34" spans="1:5" ht="12.75">
      <c r="A34" s="9" t="s">
        <v>22</v>
      </c>
      <c r="B34" s="18" t="s">
        <v>23</v>
      </c>
      <c r="C34" s="39">
        <f>SUM(C30:C33)</f>
        <v>309</v>
      </c>
      <c r="D34" s="11">
        <f>SUM(D30:D33)</f>
        <v>51</v>
      </c>
      <c r="E34" s="19">
        <f t="shared" si="0"/>
        <v>360</v>
      </c>
    </row>
    <row r="35" spans="1:5" ht="12.75">
      <c r="A35" s="9" t="s">
        <v>24</v>
      </c>
      <c r="B35" s="10" t="s">
        <v>25</v>
      </c>
      <c r="C35" s="41">
        <f>C16+C22+C28+C34</f>
        <v>5991</v>
      </c>
      <c r="D35" s="20">
        <f>D16+D22+D28+D34</f>
        <v>5609</v>
      </c>
      <c r="E35" s="12">
        <f t="shared" si="0"/>
        <v>11600</v>
      </c>
    </row>
    <row r="36" spans="1:5" ht="12.75">
      <c r="A36" s="21" t="s">
        <v>26</v>
      </c>
      <c r="B36" s="22" t="s">
        <v>27</v>
      </c>
      <c r="C36" s="42">
        <f>SUM('Apr '!C36,'May '!C36,'Jun '!C36)</f>
        <v>305</v>
      </c>
      <c r="D36" s="23">
        <f>SUM('Apr '!D36,'May '!D36,'Jun '!D36)</f>
        <v>51</v>
      </c>
      <c r="E36" s="34">
        <f t="shared" si="0"/>
        <v>356</v>
      </c>
    </row>
    <row r="37" spans="1:5" ht="12.75">
      <c r="A37" s="9" t="s">
        <v>28</v>
      </c>
      <c r="B37" s="10" t="s">
        <v>29</v>
      </c>
      <c r="C37" s="41">
        <f>C35-C36</f>
        <v>5686</v>
      </c>
      <c r="D37" s="20">
        <f>D35-D36</f>
        <v>5558</v>
      </c>
      <c r="E37" s="12">
        <f t="shared" si="0"/>
        <v>11244</v>
      </c>
    </row>
    <row r="38" spans="1:5" ht="12.75">
      <c r="A38" s="9"/>
      <c r="B38" s="25"/>
      <c r="C38" s="40"/>
      <c r="D38" s="14"/>
      <c r="E38" s="15"/>
    </row>
    <row r="39" spans="1:5" ht="12.75">
      <c r="A39" s="9"/>
      <c r="B39" s="10" t="s">
        <v>30</v>
      </c>
      <c r="C39" s="40"/>
      <c r="D39" s="14"/>
      <c r="E39" s="15"/>
    </row>
    <row r="40" spans="1:5" ht="12.75">
      <c r="A40" s="9"/>
      <c r="B40" s="26" t="s">
        <v>31</v>
      </c>
      <c r="C40" s="40"/>
      <c r="D40" s="14"/>
      <c r="E40" s="15"/>
    </row>
    <row r="41" spans="1:5" ht="12.75">
      <c r="A41" s="9"/>
      <c r="B41" s="17" t="s">
        <v>9</v>
      </c>
      <c r="C41" s="40">
        <f>SUM('Apr '!C41,'May '!C41,'Jun '!C41)</f>
        <v>1317</v>
      </c>
      <c r="D41" s="13">
        <f>SUM('Apr '!D41,'May '!D41,'Jun '!D41)</f>
        <v>477</v>
      </c>
      <c r="E41" s="15">
        <f>SUM(C41:D41)</f>
        <v>1794</v>
      </c>
    </row>
    <row r="42" spans="1:5" ht="12.75">
      <c r="A42" s="9"/>
      <c r="B42" s="17" t="s">
        <v>10</v>
      </c>
      <c r="C42" s="40">
        <f>SUM('Apr '!C42,'May '!C42,'Jun '!C42)</f>
        <v>497</v>
      </c>
      <c r="D42" s="13">
        <f>SUM('Apr '!D42,'May '!D42,'Jun '!D42)</f>
        <v>38</v>
      </c>
      <c r="E42" s="15">
        <f>SUM(C42:D42)</f>
        <v>535</v>
      </c>
    </row>
    <row r="43" spans="1:5" ht="12.75">
      <c r="A43" s="9"/>
      <c r="B43" s="17" t="s">
        <v>11</v>
      </c>
      <c r="C43" s="40">
        <f>SUM('Apr '!C43,'May '!C43,'Jun '!C43)</f>
        <v>50</v>
      </c>
      <c r="D43" s="13">
        <f>SUM('Apr '!D43,'May '!D43,'Jun '!D43)</f>
        <v>9</v>
      </c>
      <c r="E43" s="15">
        <f>SUM(C43:D43)</f>
        <v>59</v>
      </c>
    </row>
    <row r="44" spans="1:5" ht="12.75">
      <c r="A44" s="9"/>
      <c r="B44" s="17" t="s">
        <v>12</v>
      </c>
      <c r="C44" s="40">
        <f>SUM('Apr '!C44,'May '!C44,'Jun '!C44)</f>
        <v>18</v>
      </c>
      <c r="D44" s="13">
        <f>SUM('Apr '!D44,'May '!D44,'Jun '!D44)</f>
        <v>0</v>
      </c>
      <c r="E44" s="15">
        <f>SUM(C44:D44)</f>
        <v>18</v>
      </c>
    </row>
    <row r="45" spans="1:5" ht="12.75">
      <c r="A45" s="9"/>
      <c r="B45" s="18" t="s">
        <v>32</v>
      </c>
      <c r="C45" s="39">
        <f>SUM(C41:C44)</f>
        <v>1882</v>
      </c>
      <c r="D45" s="11">
        <f>SUM(D41:D44)</f>
        <v>524</v>
      </c>
      <c r="E45" s="19">
        <f>SUM(C45:D45)</f>
        <v>2406</v>
      </c>
    </row>
    <row r="46" spans="1:5" ht="12.75">
      <c r="A46" s="9"/>
      <c r="B46" s="26" t="s">
        <v>33</v>
      </c>
      <c r="C46" s="40"/>
      <c r="D46" s="14"/>
      <c r="E46" s="15"/>
    </row>
    <row r="47" spans="1:5" ht="12.75">
      <c r="A47" s="9"/>
      <c r="B47" s="17" t="s">
        <v>9</v>
      </c>
      <c r="C47" s="40">
        <f>SUM('Apr '!C47,'May '!C47,'Jun '!C47)</f>
        <v>94</v>
      </c>
      <c r="D47" s="13">
        <f>SUM('Apr '!D47,'May '!D47,'Jun '!D47)</f>
        <v>109</v>
      </c>
      <c r="E47" s="15">
        <f aca="true" t="shared" si="1" ref="E47:E52">SUM(C47:D47)</f>
        <v>203</v>
      </c>
    </row>
    <row r="48" spans="1:5" ht="12.75">
      <c r="A48" s="9"/>
      <c r="B48" s="17" t="s">
        <v>10</v>
      </c>
      <c r="C48" s="40">
        <f>SUM('Apr '!C48,'May '!C48,'Jun '!C48)</f>
        <v>35</v>
      </c>
      <c r="D48" s="13">
        <f>SUM('Apr '!D48,'May '!D48,'Jun '!D48)</f>
        <v>0</v>
      </c>
      <c r="E48" s="15">
        <f t="shared" si="1"/>
        <v>35</v>
      </c>
    </row>
    <row r="49" spans="1:5" ht="12.75">
      <c r="A49" s="9"/>
      <c r="B49" s="17" t="s">
        <v>11</v>
      </c>
      <c r="C49" s="40">
        <f>SUM('Apr '!C49,'May '!C49,'Jun '!C49)</f>
        <v>3</v>
      </c>
      <c r="D49" s="13">
        <f>SUM('Apr '!D49,'May '!D49,'Jun '!D49)</f>
        <v>0</v>
      </c>
      <c r="E49" s="15">
        <f t="shared" si="1"/>
        <v>3</v>
      </c>
    </row>
    <row r="50" spans="1:5" ht="12.75">
      <c r="A50" s="9"/>
      <c r="B50" s="17" t="s">
        <v>12</v>
      </c>
      <c r="C50" s="40">
        <f>SUM('Apr '!C50,'May '!C50,'Jun '!C50)</f>
        <v>0</v>
      </c>
      <c r="D50" s="13">
        <f>SUM('Apr '!D50,'May '!D50,'Jun '!D50)</f>
        <v>0</v>
      </c>
      <c r="E50" s="15">
        <f t="shared" si="1"/>
        <v>0</v>
      </c>
    </row>
    <row r="51" spans="1:5" ht="24">
      <c r="A51" s="9"/>
      <c r="B51" s="18" t="s">
        <v>34</v>
      </c>
      <c r="C51" s="39">
        <f>SUM(C47:C50)</f>
        <v>132</v>
      </c>
      <c r="D51" s="11">
        <f>SUM(D47:D50)</f>
        <v>109</v>
      </c>
      <c r="E51" s="19">
        <f t="shared" si="1"/>
        <v>241</v>
      </c>
    </row>
    <row r="52" spans="1:5" ht="12.75">
      <c r="A52" s="9" t="s">
        <v>35</v>
      </c>
      <c r="B52" s="18" t="s">
        <v>36</v>
      </c>
      <c r="C52" s="41">
        <f>C45+C51</f>
        <v>2014</v>
      </c>
      <c r="D52" s="20">
        <f>D45+D51</f>
        <v>633</v>
      </c>
      <c r="E52" s="12">
        <f t="shared" si="1"/>
        <v>2647</v>
      </c>
    </row>
    <row r="53" spans="1:5" ht="12.75">
      <c r="A53" s="9"/>
      <c r="B53" s="10"/>
      <c r="C53" s="40"/>
      <c r="D53" s="14"/>
      <c r="E53" s="15"/>
    </row>
    <row r="54" spans="1:5" ht="12.75">
      <c r="A54" s="9"/>
      <c r="B54" s="10" t="s">
        <v>37</v>
      </c>
      <c r="C54" s="40"/>
      <c r="D54" s="14"/>
      <c r="E54" s="15"/>
    </row>
    <row r="55" spans="1:5" ht="12.75">
      <c r="A55" s="9"/>
      <c r="B55" s="17" t="s">
        <v>9</v>
      </c>
      <c r="C55" s="40">
        <f>SUM('Apr '!C55,'May '!C55,'Jun '!C55)</f>
        <v>56</v>
      </c>
      <c r="D55" s="13">
        <f>SUM('Apr '!D55,'May '!D55,'Jun '!D55)</f>
        <v>57</v>
      </c>
      <c r="E55" s="15">
        <f>SUM(C55:D55)</f>
        <v>113</v>
      </c>
    </row>
    <row r="56" spans="1:5" ht="12.75">
      <c r="A56" s="9"/>
      <c r="B56" s="17" t="s">
        <v>10</v>
      </c>
      <c r="C56" s="40">
        <f>SUM('Apr '!C56,'May '!C56,'Jun '!C56)</f>
        <v>0</v>
      </c>
      <c r="D56" s="13">
        <f>SUM('Apr '!D56,'May '!D56,'Jun '!D56)</f>
        <v>0</v>
      </c>
      <c r="E56" s="15">
        <f>SUM(C56:D56)</f>
        <v>0</v>
      </c>
    </row>
    <row r="57" spans="1:5" ht="12.75">
      <c r="A57" s="9"/>
      <c r="B57" s="17" t="s">
        <v>11</v>
      </c>
      <c r="C57" s="40">
        <f>SUM('Apr '!C57,'May '!C57,'Jun '!C57)</f>
        <v>0</v>
      </c>
      <c r="D57" s="13">
        <f>SUM('Apr '!D57,'May '!D57,'Jun '!D57)</f>
        <v>0</v>
      </c>
      <c r="E57" s="15">
        <f>SUM(C57:D57)</f>
        <v>0</v>
      </c>
    </row>
    <row r="58" spans="1:5" ht="12.75">
      <c r="A58" s="9"/>
      <c r="B58" s="17" t="s">
        <v>12</v>
      </c>
      <c r="C58" s="40">
        <f>SUM('Apr '!C58,'May '!C58,'Jun '!C58)</f>
        <v>4</v>
      </c>
      <c r="D58" s="13">
        <f>SUM('Apr '!D58,'May '!D58,'Jun '!D58)</f>
        <v>0</v>
      </c>
      <c r="E58" s="15">
        <f>SUM(C58:D58)</f>
        <v>4</v>
      </c>
    </row>
    <row r="59" spans="1:5" ht="12.75">
      <c r="A59" s="9" t="s">
        <v>38</v>
      </c>
      <c r="B59" s="10" t="s">
        <v>39</v>
      </c>
      <c r="C59" s="41">
        <f>SUM(C55:C58)</f>
        <v>60</v>
      </c>
      <c r="D59" s="20">
        <f>SUM(D55:D58)</f>
        <v>57</v>
      </c>
      <c r="E59" s="12">
        <f>SUM(C59:D59)</f>
        <v>117</v>
      </c>
    </row>
    <row r="60" spans="1:5" ht="12.75">
      <c r="A60" s="9"/>
      <c r="B60" s="10"/>
      <c r="C60" s="40"/>
      <c r="D60" s="14"/>
      <c r="E60" s="15"/>
    </row>
    <row r="61" spans="1:5" ht="12.75">
      <c r="A61" s="9"/>
      <c r="B61" s="10" t="s">
        <v>40</v>
      </c>
      <c r="C61" s="40"/>
      <c r="D61" s="14"/>
      <c r="E61" s="15"/>
    </row>
    <row r="62" spans="1:5" ht="12.75">
      <c r="A62" s="9"/>
      <c r="B62" s="17" t="s">
        <v>9</v>
      </c>
      <c r="C62" s="40">
        <f>SUM('Apr '!C62,'May '!C62,'Jun '!C62)</f>
        <v>731</v>
      </c>
      <c r="D62" s="13">
        <f>SUM('Apr '!D62,'May '!D62,'Jun '!D62)</f>
        <v>303</v>
      </c>
      <c r="E62" s="15">
        <f>SUM(C62:D62)</f>
        <v>1034</v>
      </c>
    </row>
    <row r="63" spans="1:5" ht="12.75">
      <c r="A63" s="9"/>
      <c r="B63" s="17" t="s">
        <v>10</v>
      </c>
      <c r="C63" s="40">
        <f>SUM('Apr '!C63,'May '!C63,'Jun '!C63)</f>
        <v>39</v>
      </c>
      <c r="D63" s="13">
        <f>SUM('Apr '!D63,'May '!D63,'Jun '!D63)</f>
        <v>6</v>
      </c>
      <c r="E63" s="15">
        <f>SUM(C63:D63)</f>
        <v>45</v>
      </c>
    </row>
    <row r="64" spans="1:5" ht="12.75">
      <c r="A64" s="9"/>
      <c r="B64" s="17" t="s">
        <v>11</v>
      </c>
      <c r="C64" s="40">
        <f>SUM('Apr '!C64,'May '!C64,'Jun '!C64)</f>
        <v>8</v>
      </c>
      <c r="D64" s="13">
        <f>SUM('Apr '!D64,'May '!D64,'Jun '!D64)</f>
        <v>0</v>
      </c>
      <c r="E64" s="15">
        <f>SUM(C64:D64)</f>
        <v>8</v>
      </c>
    </row>
    <row r="65" spans="1:5" ht="12.75">
      <c r="A65" s="9"/>
      <c r="B65" s="17" t="s">
        <v>12</v>
      </c>
      <c r="C65" s="40">
        <f>SUM('Apr '!C65,'May '!C65,'Jun '!C65)</f>
        <v>17</v>
      </c>
      <c r="D65" s="13">
        <f>SUM('Apr '!D65,'May '!D65,'Jun '!D65)</f>
        <v>0</v>
      </c>
      <c r="E65" s="15">
        <f>SUM(C65:D65)</f>
        <v>17</v>
      </c>
    </row>
    <row r="66" spans="1:5" ht="12.75">
      <c r="A66" s="9" t="s">
        <v>41</v>
      </c>
      <c r="B66" s="10" t="s">
        <v>42</v>
      </c>
      <c r="C66" s="41">
        <f>SUM(C62:C65)</f>
        <v>795</v>
      </c>
      <c r="D66" s="20">
        <f>SUM(D62:D65)</f>
        <v>309</v>
      </c>
      <c r="E66" s="12">
        <f>SUM(C66:D66)</f>
        <v>1104</v>
      </c>
    </row>
    <row r="67" spans="1:5" ht="12.75">
      <c r="A67" s="9"/>
      <c r="B67" s="10"/>
      <c r="C67" s="40"/>
      <c r="D67" s="14"/>
      <c r="E67" s="15"/>
    </row>
    <row r="68" spans="1:5" ht="12.75">
      <c r="A68" s="9" t="s">
        <v>43</v>
      </c>
      <c r="B68" s="10" t="s">
        <v>44</v>
      </c>
      <c r="C68" s="40">
        <f>SUM('Apr '!C68,'May '!C68,'Jun '!C68)</f>
        <v>397</v>
      </c>
      <c r="D68" s="13">
        <f>SUM('Apr '!D68,'May '!D68,'Jun '!D68)</f>
        <v>26</v>
      </c>
      <c r="E68" s="12">
        <f>SUM(C68:D68)</f>
        <v>423</v>
      </c>
    </row>
    <row r="69" spans="1:5" ht="12.75">
      <c r="A69" s="9"/>
      <c r="B69" s="10"/>
      <c r="C69" s="40"/>
      <c r="D69" s="14"/>
      <c r="E69" s="15"/>
    </row>
    <row r="70" spans="1:5" ht="12.75">
      <c r="A70" s="9"/>
      <c r="B70" s="10" t="s">
        <v>45</v>
      </c>
      <c r="C70" s="40"/>
      <c r="D70" s="14"/>
      <c r="E70" s="15"/>
    </row>
    <row r="71" spans="1:5" ht="12.75">
      <c r="A71" s="9" t="s">
        <v>46</v>
      </c>
      <c r="B71" s="25" t="s">
        <v>47</v>
      </c>
      <c r="C71" s="40">
        <f>SUM('Apr '!C71,'May '!C71,'Jun '!C71)</f>
        <v>73</v>
      </c>
      <c r="D71" s="13">
        <f>SUM('Apr '!D71,'May '!D71,'Jun '!D71)</f>
        <v>132</v>
      </c>
      <c r="E71" s="15">
        <f aca="true" t="shared" si="2" ref="E71:E77">SUM(C71:D71)</f>
        <v>205</v>
      </c>
    </row>
    <row r="72" spans="1:5" ht="12.75">
      <c r="A72" s="9" t="s">
        <v>48</v>
      </c>
      <c r="B72" s="25" t="s">
        <v>49</v>
      </c>
      <c r="C72" s="40">
        <f>SUM('Apr '!C72,'May '!C72,'Jun '!C72)</f>
        <v>487</v>
      </c>
      <c r="D72" s="13">
        <f>SUM('Apr '!D72,'May '!D72,'Jun '!D72)</f>
        <v>705</v>
      </c>
      <c r="E72" s="15">
        <f t="shared" si="2"/>
        <v>1192</v>
      </c>
    </row>
    <row r="73" spans="1:5" ht="12.75">
      <c r="A73" s="9" t="s">
        <v>50</v>
      </c>
      <c r="B73" s="25" t="s">
        <v>51</v>
      </c>
      <c r="C73" s="40">
        <f>SUM('Apr '!C73,'May '!C73,'Jun '!C73)</f>
        <v>363</v>
      </c>
      <c r="D73" s="13">
        <f>SUM('Apr '!D73,'May '!D73,'Jun '!D73)</f>
        <v>883</v>
      </c>
      <c r="E73" s="15">
        <f t="shared" si="2"/>
        <v>1246</v>
      </c>
    </row>
    <row r="74" spans="1:5" ht="12.75">
      <c r="A74" s="9" t="s">
        <v>52</v>
      </c>
      <c r="B74" s="25" t="s">
        <v>53</v>
      </c>
      <c r="C74" s="40">
        <f>SUM('Apr '!C74,'May '!C74,'Jun '!C74)</f>
        <v>1532</v>
      </c>
      <c r="D74" s="13">
        <f>SUM('Apr '!D74,'May '!D74,'Jun '!D74)</f>
        <v>2724</v>
      </c>
      <c r="E74" s="15">
        <f t="shared" si="2"/>
        <v>4256</v>
      </c>
    </row>
    <row r="75" spans="1:5" ht="12.75">
      <c r="A75" s="9" t="s">
        <v>54</v>
      </c>
      <c r="B75" s="25" t="s">
        <v>55</v>
      </c>
      <c r="C75" s="41">
        <f>SUM(C71:C74)</f>
        <v>2455</v>
      </c>
      <c r="D75" s="20">
        <f>SUM(D71:D74)</f>
        <v>4444</v>
      </c>
      <c r="E75" s="12">
        <f t="shared" si="2"/>
        <v>6899</v>
      </c>
    </row>
    <row r="76" spans="1:5" ht="12.75">
      <c r="A76" s="21" t="s">
        <v>56</v>
      </c>
      <c r="B76" s="22" t="s">
        <v>27</v>
      </c>
      <c r="C76" s="42">
        <f>SUM('Apr '!C76,'May '!C76,'Jun '!C76)</f>
        <v>305</v>
      </c>
      <c r="D76" s="23">
        <f>SUM('Apr '!D76,'May '!D76,'Jun '!D76)</f>
        <v>51</v>
      </c>
      <c r="E76" s="34">
        <f t="shared" si="2"/>
        <v>356</v>
      </c>
    </row>
    <row r="77" spans="1:5" ht="12.75">
      <c r="A77" s="9" t="s">
        <v>57</v>
      </c>
      <c r="B77" s="10" t="s">
        <v>58</v>
      </c>
      <c r="C77" s="41">
        <f>C75-C76</f>
        <v>2150</v>
      </c>
      <c r="D77" s="20">
        <f>D75-D76</f>
        <v>4393</v>
      </c>
      <c r="E77" s="12">
        <f t="shared" si="2"/>
        <v>6543</v>
      </c>
    </row>
    <row r="78" spans="1:5" ht="12.75">
      <c r="A78" s="9"/>
      <c r="B78" s="10"/>
      <c r="C78" s="40"/>
      <c r="D78" s="14"/>
      <c r="E78" s="15"/>
    </row>
    <row r="79" spans="1:5" ht="24">
      <c r="A79" s="9" t="s">
        <v>59</v>
      </c>
      <c r="B79" s="10" t="s">
        <v>60</v>
      </c>
      <c r="C79" s="41">
        <f>C52+C59+C66+C68+C77</f>
        <v>5416</v>
      </c>
      <c r="D79" s="20">
        <f>D52+D59+D66+D68+D77</f>
        <v>5418</v>
      </c>
      <c r="E79" s="12">
        <f>SUM(C79:D79)</f>
        <v>10834</v>
      </c>
    </row>
    <row r="80" spans="1:5" ht="12.75">
      <c r="A80" s="9"/>
      <c r="B80" s="27"/>
      <c r="C80" s="40"/>
      <c r="D80" s="14"/>
      <c r="E80" s="15"/>
    </row>
    <row r="81" spans="1:5" ht="12.75">
      <c r="A81" s="9" t="s">
        <v>61</v>
      </c>
      <c r="B81" s="10" t="s">
        <v>62</v>
      </c>
      <c r="C81" s="40">
        <f>SUM('Apr '!C81,'May '!C81,'Jun '!C81)</f>
        <v>56</v>
      </c>
      <c r="D81" s="13">
        <f>SUM('Apr '!D81,'May '!D81,'Jun '!D81)</f>
        <v>35</v>
      </c>
      <c r="E81" s="12">
        <f>SUM(C81:D81)</f>
        <v>91</v>
      </c>
    </row>
    <row r="82" spans="1:5" ht="12.75">
      <c r="A82" s="9"/>
      <c r="B82" s="27"/>
      <c r="C82" s="40"/>
      <c r="D82" s="14"/>
      <c r="E82" s="15"/>
    </row>
    <row r="83" spans="1:5" ht="24">
      <c r="A83" s="9" t="s">
        <v>63</v>
      </c>
      <c r="B83" s="10" t="s">
        <v>64</v>
      </c>
      <c r="C83" s="41">
        <f>C79+C81</f>
        <v>5472</v>
      </c>
      <c r="D83" s="20">
        <f>D79+D81</f>
        <v>5453</v>
      </c>
      <c r="E83" s="12">
        <f>SUM(C83:D83)</f>
        <v>10925</v>
      </c>
    </row>
    <row r="84" spans="1:5" ht="12.75">
      <c r="A84" s="9"/>
      <c r="B84" s="27"/>
      <c r="C84" s="40"/>
      <c r="D84" s="14"/>
      <c r="E84" s="15"/>
    </row>
    <row r="85" spans="1:5" ht="13.5" thickBot="1">
      <c r="A85" s="28" t="s">
        <v>65</v>
      </c>
      <c r="B85" s="29" t="s">
        <v>66</v>
      </c>
      <c r="C85" s="43">
        <f>+C8+C37-C83</f>
        <v>617</v>
      </c>
      <c r="D85" s="43">
        <f>+D8+D37-D83</f>
        <v>846</v>
      </c>
      <c r="E85" s="30">
        <f>SUM(C85:D85)</f>
        <v>1463</v>
      </c>
    </row>
    <row r="86" spans="1:5" ht="30" customHeight="1">
      <c r="A86" s="69" t="s">
        <v>67</v>
      </c>
      <c r="B86" s="70"/>
      <c r="C86" s="35">
        <f>(C8+C35)-(C76+C83)</f>
        <v>617</v>
      </c>
      <c r="D86" s="35">
        <f>(D8+D35)-(D76+D83)</f>
        <v>846</v>
      </c>
      <c r="E86" s="35">
        <f>(E8+E35)-(E76+E83)</f>
        <v>1463</v>
      </c>
    </row>
    <row r="87" spans="1:5" ht="42.75" customHeight="1">
      <c r="A87" s="67" t="s">
        <v>68</v>
      </c>
      <c r="B87" s="68"/>
      <c r="C87" s="68"/>
      <c r="D87" s="68"/>
      <c r="E87" s="68"/>
    </row>
    <row r="88" spans="1:5" ht="12.75">
      <c r="A88" s="36"/>
      <c r="B88" s="37"/>
      <c r="C88" s="37"/>
      <c r="D88" s="37"/>
      <c r="E88" s="37"/>
    </row>
    <row r="89" spans="1:5" ht="15" customHeight="1">
      <c r="A89" s="62" t="s">
        <v>69</v>
      </c>
      <c r="B89" s="63"/>
      <c r="C89" s="63"/>
      <c r="D89" s="63"/>
      <c r="E89" s="63"/>
    </row>
    <row r="90" ht="12.75">
      <c r="A90" s="31"/>
    </row>
    <row r="91" spans="1:5" ht="45.75" customHeight="1">
      <c r="A91" s="58" t="s">
        <v>70</v>
      </c>
      <c r="B91" s="59"/>
      <c r="C91" s="59"/>
      <c r="D91" s="59"/>
      <c r="E91" s="59"/>
    </row>
    <row r="92" ht="15" customHeight="1">
      <c r="A92" s="32"/>
    </row>
    <row r="93" ht="15.75">
      <c r="A93" s="33" t="s">
        <v>93</v>
      </c>
    </row>
  </sheetData>
  <sheetProtection/>
  <mergeCells count="6">
    <mergeCell ref="A91:E91"/>
    <mergeCell ref="A1:E1"/>
    <mergeCell ref="A89:E89"/>
    <mergeCell ref="C6:E6"/>
    <mergeCell ref="A87:E87"/>
    <mergeCell ref="A86:B86"/>
  </mergeCells>
  <printOptions/>
  <pageMargins left="0.25" right="0.25" top="0.8" bottom="0.33" header="0.48" footer="0.21"/>
  <pageSetup fitToHeight="1" fitToWidth="1" horizontalDpi="600" verticalDpi="600" orientation="portrait" paperSize="5" scale="8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55">
      <selection activeCell="B6" sqref="B6"/>
    </sheetView>
  </sheetViews>
  <sheetFormatPr defaultColWidth="8.8515625" defaultRowHeight="12.75"/>
  <cols>
    <col min="1" max="1" width="2.8515625" style="0" customWidth="1"/>
    <col min="2" max="2" width="69.8515625" style="0" customWidth="1"/>
    <col min="3" max="4" width="8.8515625" style="0" customWidth="1"/>
    <col min="5" max="5" width="9.8515625" style="0" customWidth="1"/>
  </cols>
  <sheetData>
    <row r="1" spans="1:5" ht="18">
      <c r="A1" s="60" t="s">
        <v>71</v>
      </c>
      <c r="B1" s="61"/>
      <c r="C1" s="61"/>
      <c r="D1" s="61"/>
      <c r="E1" s="61"/>
    </row>
    <row r="2" ht="15.75">
      <c r="A2" s="2" t="s">
        <v>0</v>
      </c>
    </row>
    <row r="3" ht="15.75">
      <c r="A3" s="2" t="s">
        <v>1</v>
      </c>
    </row>
    <row r="4" ht="15.75">
      <c r="A4" s="44" t="str">
        <f>+'Jan '!A4</f>
        <v>YEAR: 1/1/2010 - 12/31/2010</v>
      </c>
    </row>
    <row r="5" ht="13.5" thickBot="1">
      <c r="A5" s="3"/>
    </row>
    <row r="6" spans="1:5" ht="13.5" thickBot="1">
      <c r="A6" s="4"/>
      <c r="B6" s="5" t="str">
        <f>+'Jan '!B6</f>
        <v>NAME OF ORGANIZATION:  Miami Dade Coalition</v>
      </c>
      <c r="C6" s="71" t="s">
        <v>80</v>
      </c>
      <c r="D6" s="72"/>
      <c r="E6" s="73"/>
    </row>
    <row r="7" spans="1:5" ht="12.75">
      <c r="A7" s="4"/>
      <c r="B7" s="6"/>
      <c r="C7" s="38" t="s">
        <v>2</v>
      </c>
      <c r="D7" s="7" t="s">
        <v>3</v>
      </c>
      <c r="E7" s="8" t="s">
        <v>4</v>
      </c>
    </row>
    <row r="8" spans="1:5" ht="12.75">
      <c r="A8" s="9" t="s">
        <v>5</v>
      </c>
      <c r="B8" s="10" t="s">
        <v>6</v>
      </c>
      <c r="C8" s="39">
        <f>+'Jan '!C8</f>
        <v>370</v>
      </c>
      <c r="D8" s="39">
        <f>+'Jan '!D8</f>
        <v>770</v>
      </c>
      <c r="E8" s="12">
        <f>SUM(C8:D8)</f>
        <v>1140</v>
      </c>
    </row>
    <row r="9" spans="1:5" ht="12.75">
      <c r="A9" s="9"/>
      <c r="B9" s="10"/>
      <c r="C9" s="40"/>
      <c r="D9" s="14"/>
      <c r="E9" s="15"/>
    </row>
    <row r="10" spans="1:5" ht="12.75">
      <c r="A10" s="9"/>
      <c r="B10" s="10" t="s">
        <v>7</v>
      </c>
      <c r="C10" s="40"/>
      <c r="D10" s="14"/>
      <c r="E10" s="15"/>
    </row>
    <row r="11" spans="1:5" ht="12.75">
      <c r="A11" s="9"/>
      <c r="B11" s="16" t="s">
        <v>8</v>
      </c>
      <c r="C11" s="40"/>
      <c r="D11" s="14"/>
      <c r="E11" s="15"/>
    </row>
    <row r="12" spans="1:5" ht="12.75">
      <c r="A12" s="9"/>
      <c r="B12" s="17" t="s">
        <v>9</v>
      </c>
      <c r="C12" s="40">
        <f>SUM('Q1'!C12,'Q2'!C12)</f>
        <v>5155</v>
      </c>
      <c r="D12" s="14">
        <f>SUM('Q1'!D12,'Q2'!D12)</f>
        <v>3324</v>
      </c>
      <c r="E12" s="15">
        <f>SUM(C12:D12)</f>
        <v>8479</v>
      </c>
    </row>
    <row r="13" spans="1:5" ht="12.75">
      <c r="A13" s="9"/>
      <c r="B13" s="17" t="s">
        <v>10</v>
      </c>
      <c r="C13" s="40">
        <f>SUM('Q1'!C13,'Q2'!C13)</f>
        <v>763</v>
      </c>
      <c r="D13" s="14">
        <f>SUM('Q1'!D13,'Q2'!D13)</f>
        <v>1464</v>
      </c>
      <c r="E13" s="15">
        <f>SUM(C13:D13)</f>
        <v>2227</v>
      </c>
    </row>
    <row r="14" spans="1:5" ht="12.75">
      <c r="A14" s="9"/>
      <c r="B14" s="17" t="s">
        <v>11</v>
      </c>
      <c r="C14" s="40">
        <f>SUM('Q1'!C14,'Q2'!C14)</f>
        <v>1276</v>
      </c>
      <c r="D14" s="14">
        <f>SUM('Q1'!D14,'Q2'!D14)</f>
        <v>1461</v>
      </c>
      <c r="E14" s="15">
        <f>SUM(C14:D14)</f>
        <v>2737</v>
      </c>
    </row>
    <row r="15" spans="1:5" ht="12.75">
      <c r="A15" s="9"/>
      <c r="B15" s="17" t="s">
        <v>12</v>
      </c>
      <c r="C15" s="40">
        <f>SUM('Q1'!C15,'Q2'!C15)</f>
        <v>3228</v>
      </c>
      <c r="D15" s="14">
        <f>SUM('Q1'!D15,'Q2'!D15)</f>
        <v>1464</v>
      </c>
      <c r="E15" s="15">
        <f>SUM(C15:D15)</f>
        <v>4692</v>
      </c>
    </row>
    <row r="16" spans="1:5" ht="12.75">
      <c r="A16" s="9" t="s">
        <v>13</v>
      </c>
      <c r="B16" s="18" t="s">
        <v>14</v>
      </c>
      <c r="C16" s="39">
        <f>SUM(C12:C15)</f>
        <v>10422</v>
      </c>
      <c r="D16" s="11">
        <f>SUM(D12:D15)</f>
        <v>7713</v>
      </c>
      <c r="E16" s="19">
        <f>SUM(C16:D16)</f>
        <v>18135</v>
      </c>
    </row>
    <row r="17" spans="1:5" ht="12.75">
      <c r="A17" s="9"/>
      <c r="B17" s="16" t="s">
        <v>15</v>
      </c>
      <c r="C17" s="40"/>
      <c r="D17" s="14"/>
      <c r="E17" s="15"/>
    </row>
    <row r="18" spans="1:5" ht="12.75">
      <c r="A18" s="9"/>
      <c r="B18" s="17" t="s">
        <v>9</v>
      </c>
      <c r="C18" s="40">
        <f>SUM('Q1'!C18,'Q2'!C18)</f>
        <v>100</v>
      </c>
      <c r="D18" s="14">
        <f>SUM('Q1'!D18,'Q2'!D18)</f>
        <v>72</v>
      </c>
      <c r="E18" s="15">
        <f>SUM(C18:D18)</f>
        <v>172</v>
      </c>
    </row>
    <row r="19" spans="1:5" ht="12.75">
      <c r="A19" s="9"/>
      <c r="B19" s="17" t="s">
        <v>10</v>
      </c>
      <c r="C19" s="40">
        <f>SUM('Q1'!C19,'Q2'!C19)</f>
        <v>10</v>
      </c>
      <c r="D19" s="14">
        <f>SUM('Q1'!D19,'Q2'!D19)</f>
        <v>0</v>
      </c>
      <c r="E19" s="15">
        <f>SUM(C19:D19)</f>
        <v>10</v>
      </c>
    </row>
    <row r="20" spans="1:5" ht="12.75">
      <c r="A20" s="9"/>
      <c r="B20" s="17" t="s">
        <v>11</v>
      </c>
      <c r="C20" s="40">
        <f>SUM('Q1'!C20,'Q2'!C20)</f>
        <v>0</v>
      </c>
      <c r="D20" s="14">
        <f>SUM('Q1'!D20,'Q2'!D20)</f>
        <v>0</v>
      </c>
      <c r="E20" s="15">
        <f>SUM(C20:D20)</f>
        <v>0</v>
      </c>
    </row>
    <row r="21" spans="1:5" ht="12.75">
      <c r="A21" s="9"/>
      <c r="B21" s="17" t="s">
        <v>12</v>
      </c>
      <c r="C21" s="40">
        <f>SUM('Q1'!C21,'Q2'!C21)</f>
        <v>4</v>
      </c>
      <c r="D21" s="14">
        <f>SUM('Q1'!D21,'Q2'!D21)</f>
        <v>0</v>
      </c>
      <c r="E21" s="15">
        <f>SUM(C21:D21)</f>
        <v>4</v>
      </c>
    </row>
    <row r="22" spans="1:5" ht="12.75">
      <c r="A22" s="9" t="s">
        <v>16</v>
      </c>
      <c r="B22" s="18" t="s">
        <v>17</v>
      </c>
      <c r="C22" s="39">
        <f>SUM(C18:C21)</f>
        <v>114</v>
      </c>
      <c r="D22" s="11">
        <f>SUM(D18:D21)</f>
        <v>72</v>
      </c>
      <c r="E22" s="19">
        <f>SUM(C22:D22)</f>
        <v>186</v>
      </c>
    </row>
    <row r="23" spans="1:5" ht="12.75">
      <c r="A23" s="9"/>
      <c r="B23" s="16" t="s">
        <v>18</v>
      </c>
      <c r="C23" s="40"/>
      <c r="D23" s="14"/>
      <c r="E23" s="15"/>
    </row>
    <row r="24" spans="1:5" ht="12.75">
      <c r="A24" s="9"/>
      <c r="B24" s="17" t="s">
        <v>9</v>
      </c>
      <c r="C24" s="40">
        <f>SUM('Q1'!C24,'Q2'!C24)</f>
        <v>20</v>
      </c>
      <c r="D24" s="14">
        <f>SUM('Q1'!D24,'Q2'!D24)</f>
        <v>103</v>
      </c>
      <c r="E24" s="15">
        <f>SUM(C24:D24)</f>
        <v>123</v>
      </c>
    </row>
    <row r="25" spans="1:5" ht="12.75">
      <c r="A25" s="9"/>
      <c r="B25" s="17" t="s">
        <v>10</v>
      </c>
      <c r="C25" s="40">
        <f>SUM('Q1'!C25,'Q2'!C25)</f>
        <v>0</v>
      </c>
      <c r="D25" s="14">
        <f>SUM('Q1'!D25,'Q2'!D25)</f>
        <v>0</v>
      </c>
      <c r="E25" s="15">
        <f>SUM(C25:D25)</f>
        <v>0</v>
      </c>
    </row>
    <row r="26" spans="1:5" ht="12.75">
      <c r="A26" s="9"/>
      <c r="B26" s="17" t="s">
        <v>11</v>
      </c>
      <c r="C26" s="40">
        <f>SUM('Q1'!C26,'Q2'!C26)</f>
        <v>0</v>
      </c>
      <c r="D26" s="14">
        <f>SUM('Q1'!D26,'Q2'!D26)</f>
        <v>0</v>
      </c>
      <c r="E26" s="15">
        <f>SUM(C26:D26)</f>
        <v>0</v>
      </c>
    </row>
    <row r="27" spans="1:5" ht="12.75">
      <c r="A27" s="9"/>
      <c r="B27" s="17" t="s">
        <v>12</v>
      </c>
      <c r="C27" s="40">
        <f>SUM('Q1'!C27,'Q2'!C27)</f>
        <v>0</v>
      </c>
      <c r="D27" s="14">
        <f>SUM('Q1'!D27,'Q2'!D27)</f>
        <v>0</v>
      </c>
      <c r="E27" s="15">
        <f>SUM(C27:D27)</f>
        <v>0</v>
      </c>
    </row>
    <row r="28" spans="1:5" ht="12.75">
      <c r="A28" s="9" t="s">
        <v>19</v>
      </c>
      <c r="B28" s="18" t="s">
        <v>20</v>
      </c>
      <c r="C28" s="39">
        <f>SUM(C24:C27)</f>
        <v>20</v>
      </c>
      <c r="D28" s="11">
        <f>SUM(D24:D27)</f>
        <v>103</v>
      </c>
      <c r="E28" s="19">
        <f>SUM(C28:D28)</f>
        <v>123</v>
      </c>
    </row>
    <row r="29" spans="1:5" ht="12.75">
      <c r="A29" s="9"/>
      <c r="B29" s="16" t="s">
        <v>21</v>
      </c>
      <c r="C29" s="40"/>
      <c r="D29" s="14"/>
      <c r="E29" s="15"/>
    </row>
    <row r="30" spans="1:5" ht="12.75">
      <c r="A30" s="9"/>
      <c r="B30" s="17" t="s">
        <v>9</v>
      </c>
      <c r="C30" s="40">
        <f>SUM('Q1'!C30,'Q2'!C30)</f>
        <v>4</v>
      </c>
      <c r="D30" s="14">
        <f>SUM('Q1'!D30,'Q2'!D30)</f>
        <v>0</v>
      </c>
      <c r="E30" s="15">
        <f aca="true" t="shared" si="0" ref="E30:E37">SUM(C30:D30)</f>
        <v>4</v>
      </c>
    </row>
    <row r="31" spans="1:5" ht="12.75">
      <c r="A31" s="9"/>
      <c r="B31" s="17" t="s">
        <v>10</v>
      </c>
      <c r="C31" s="40">
        <f>SUM('Q1'!C31,'Q2'!C31)</f>
        <v>0</v>
      </c>
      <c r="D31" s="14">
        <f>SUM('Q1'!D31,'Q2'!D31)</f>
        <v>0</v>
      </c>
      <c r="E31" s="15">
        <f t="shared" si="0"/>
        <v>0</v>
      </c>
    </row>
    <row r="32" spans="1:5" ht="12.75">
      <c r="A32" s="9"/>
      <c r="B32" s="17" t="s">
        <v>11</v>
      </c>
      <c r="C32" s="40">
        <f>SUM('Q1'!C32,'Q2'!C32)</f>
        <v>0</v>
      </c>
      <c r="D32" s="14">
        <f>SUM('Q1'!D32,'Q2'!D32)</f>
        <v>0</v>
      </c>
      <c r="E32" s="15">
        <f t="shared" si="0"/>
        <v>0</v>
      </c>
    </row>
    <row r="33" spans="1:5" ht="12.75">
      <c r="A33" s="9"/>
      <c r="B33" s="17" t="s">
        <v>12</v>
      </c>
      <c r="C33" s="40">
        <f>SUM('Q1'!C33,'Q2'!C33)</f>
        <v>505</v>
      </c>
      <c r="D33" s="14">
        <f>SUM('Q1'!D33,'Q2'!D33)</f>
        <v>84</v>
      </c>
      <c r="E33" s="15">
        <f t="shared" si="0"/>
        <v>589</v>
      </c>
    </row>
    <row r="34" spans="1:5" ht="12.75">
      <c r="A34" s="9" t="s">
        <v>22</v>
      </c>
      <c r="B34" s="18" t="s">
        <v>23</v>
      </c>
      <c r="C34" s="39">
        <f>SUM(C30:C33)</f>
        <v>509</v>
      </c>
      <c r="D34" s="11">
        <f>SUM(D30:D33)</f>
        <v>84</v>
      </c>
      <c r="E34" s="19">
        <f t="shared" si="0"/>
        <v>593</v>
      </c>
    </row>
    <row r="35" spans="1:5" ht="12.75">
      <c r="A35" s="9" t="s">
        <v>24</v>
      </c>
      <c r="B35" s="10" t="s">
        <v>25</v>
      </c>
      <c r="C35" s="41">
        <f>C16+C22+C28+C34</f>
        <v>11065</v>
      </c>
      <c r="D35" s="20">
        <f>D16+D22+D28+D34</f>
        <v>7972</v>
      </c>
      <c r="E35" s="12">
        <f t="shared" si="0"/>
        <v>19037</v>
      </c>
    </row>
    <row r="36" spans="1:5" ht="12.75">
      <c r="A36" s="21" t="s">
        <v>26</v>
      </c>
      <c r="B36" s="22" t="s">
        <v>27</v>
      </c>
      <c r="C36" s="42">
        <f>SUM('Q1'!C36,'Q2'!C36)</f>
        <v>505</v>
      </c>
      <c r="D36" s="24">
        <f>SUM('Q1'!D36,'Q2'!D36)</f>
        <v>84</v>
      </c>
      <c r="E36" s="34">
        <f t="shared" si="0"/>
        <v>589</v>
      </c>
    </row>
    <row r="37" spans="1:5" ht="12.75">
      <c r="A37" s="9" t="s">
        <v>28</v>
      </c>
      <c r="B37" s="10" t="s">
        <v>29</v>
      </c>
      <c r="C37" s="41">
        <f>C35-C36</f>
        <v>10560</v>
      </c>
      <c r="D37" s="20">
        <f>D35-D36</f>
        <v>7888</v>
      </c>
      <c r="E37" s="12">
        <f t="shared" si="0"/>
        <v>18448</v>
      </c>
    </row>
    <row r="38" spans="1:5" ht="12.75">
      <c r="A38" s="9"/>
      <c r="B38" s="25"/>
      <c r="C38" s="40"/>
      <c r="D38" s="14"/>
      <c r="E38" s="15"/>
    </row>
    <row r="39" spans="1:5" ht="12.75">
      <c r="A39" s="9"/>
      <c r="B39" s="10" t="s">
        <v>30</v>
      </c>
      <c r="C39" s="40"/>
      <c r="D39" s="14"/>
      <c r="E39" s="15"/>
    </row>
    <row r="40" spans="1:5" ht="12.75">
      <c r="A40" s="9"/>
      <c r="B40" s="26" t="s">
        <v>31</v>
      </c>
      <c r="C40" s="40"/>
      <c r="D40" s="14"/>
      <c r="E40" s="15"/>
    </row>
    <row r="41" spans="1:5" ht="12.75">
      <c r="A41" s="9"/>
      <c r="B41" s="17" t="s">
        <v>9</v>
      </c>
      <c r="C41" s="40">
        <f>SUM('Q1'!C41,'Q2'!C41)</f>
        <v>2579</v>
      </c>
      <c r="D41" s="14">
        <f>SUM('Q1'!D41,'Q2'!D41)</f>
        <v>917</v>
      </c>
      <c r="E41" s="15">
        <f>SUM(C41:D41)</f>
        <v>3496</v>
      </c>
    </row>
    <row r="42" spans="1:5" ht="12.75">
      <c r="A42" s="9"/>
      <c r="B42" s="17" t="s">
        <v>10</v>
      </c>
      <c r="C42" s="40">
        <f>SUM('Q1'!C42,'Q2'!C42)</f>
        <v>972</v>
      </c>
      <c r="D42" s="14">
        <f>SUM('Q1'!D42,'Q2'!D42)</f>
        <v>72</v>
      </c>
      <c r="E42" s="15">
        <f>SUM(C42:D42)</f>
        <v>1044</v>
      </c>
    </row>
    <row r="43" spans="1:5" ht="12.75">
      <c r="A43" s="9"/>
      <c r="B43" s="17" t="s">
        <v>11</v>
      </c>
      <c r="C43" s="40">
        <f>SUM('Q1'!C43,'Q2'!C43)</f>
        <v>96</v>
      </c>
      <c r="D43" s="14">
        <f>SUM('Q1'!D43,'Q2'!D43)</f>
        <v>18</v>
      </c>
      <c r="E43" s="15">
        <f>SUM(C43:D43)</f>
        <v>114</v>
      </c>
    </row>
    <row r="44" spans="1:5" ht="12.75">
      <c r="A44" s="9"/>
      <c r="B44" s="17" t="s">
        <v>12</v>
      </c>
      <c r="C44" s="40">
        <f>SUM('Q1'!C44,'Q2'!C44)</f>
        <v>35</v>
      </c>
      <c r="D44" s="14">
        <f>SUM('Q1'!D44,'Q2'!D44)</f>
        <v>0</v>
      </c>
      <c r="E44" s="15">
        <f>SUM(C44:D44)</f>
        <v>35</v>
      </c>
    </row>
    <row r="45" spans="1:5" ht="12.75">
      <c r="A45" s="9"/>
      <c r="B45" s="18" t="s">
        <v>32</v>
      </c>
      <c r="C45" s="39">
        <f>SUM(C41:C44)</f>
        <v>3682</v>
      </c>
      <c r="D45" s="11">
        <f>SUM(D41:D44)</f>
        <v>1007</v>
      </c>
      <c r="E45" s="19">
        <f>SUM(C45:D45)</f>
        <v>4689</v>
      </c>
    </row>
    <row r="46" spans="1:5" ht="12.75">
      <c r="A46" s="9"/>
      <c r="B46" s="26" t="s">
        <v>33</v>
      </c>
      <c r="C46" s="40"/>
      <c r="D46" s="14"/>
      <c r="E46" s="15"/>
    </row>
    <row r="47" spans="1:5" ht="12.75">
      <c r="A47" s="9"/>
      <c r="B47" s="17" t="s">
        <v>9</v>
      </c>
      <c r="C47" s="40">
        <f>SUM('Q1'!C47,'Q2'!C47)</f>
        <v>164</v>
      </c>
      <c r="D47" s="14">
        <f>SUM('Q1'!D47,'Q2'!D47)</f>
        <v>210</v>
      </c>
      <c r="E47" s="15">
        <f aca="true" t="shared" si="1" ref="E47:E52">SUM(C47:D47)</f>
        <v>374</v>
      </c>
    </row>
    <row r="48" spans="1:5" ht="12.75">
      <c r="A48" s="9"/>
      <c r="B48" s="17" t="s">
        <v>10</v>
      </c>
      <c r="C48" s="40">
        <f>SUM('Q1'!C48,'Q2'!C48)</f>
        <v>69</v>
      </c>
      <c r="D48" s="14">
        <f>SUM('Q1'!D48,'Q2'!D48)</f>
        <v>0</v>
      </c>
      <c r="E48" s="15">
        <f t="shared" si="1"/>
        <v>69</v>
      </c>
    </row>
    <row r="49" spans="1:5" ht="12.75">
      <c r="A49" s="9"/>
      <c r="B49" s="17" t="s">
        <v>11</v>
      </c>
      <c r="C49" s="40">
        <f>SUM('Q1'!C49,'Q2'!C49)</f>
        <v>9</v>
      </c>
      <c r="D49" s="14">
        <f>SUM('Q1'!D49,'Q2'!D49)</f>
        <v>0</v>
      </c>
      <c r="E49" s="15">
        <f t="shared" si="1"/>
        <v>9</v>
      </c>
    </row>
    <row r="50" spans="1:5" ht="12.75">
      <c r="A50" s="9"/>
      <c r="B50" s="17" t="s">
        <v>12</v>
      </c>
      <c r="C50" s="40">
        <f>SUM('Q1'!C50,'Q2'!C50)</f>
        <v>0</v>
      </c>
      <c r="D50" s="14">
        <f>SUM('Q1'!D50,'Q2'!D50)</f>
        <v>0</v>
      </c>
      <c r="E50" s="15">
        <f t="shared" si="1"/>
        <v>0</v>
      </c>
    </row>
    <row r="51" spans="1:5" ht="24">
      <c r="A51" s="9"/>
      <c r="B51" s="18" t="s">
        <v>34</v>
      </c>
      <c r="C51" s="39">
        <f>SUM(C47:C50)</f>
        <v>242</v>
      </c>
      <c r="D51" s="11">
        <f>SUM(D47:D50)</f>
        <v>210</v>
      </c>
      <c r="E51" s="19">
        <f t="shared" si="1"/>
        <v>452</v>
      </c>
    </row>
    <row r="52" spans="1:5" ht="12.75">
      <c r="A52" s="9" t="s">
        <v>35</v>
      </c>
      <c r="B52" s="18" t="s">
        <v>36</v>
      </c>
      <c r="C52" s="41">
        <f>C45+C51</f>
        <v>3924</v>
      </c>
      <c r="D52" s="20">
        <f>D45+D51</f>
        <v>1217</v>
      </c>
      <c r="E52" s="12">
        <f t="shared" si="1"/>
        <v>5141</v>
      </c>
    </row>
    <row r="53" spans="1:5" ht="12.75">
      <c r="A53" s="9"/>
      <c r="B53" s="10"/>
      <c r="C53" s="40"/>
      <c r="D53" s="14"/>
      <c r="E53" s="15"/>
    </row>
    <row r="54" spans="1:5" ht="12.75">
      <c r="A54" s="9"/>
      <c r="B54" s="10" t="s">
        <v>37</v>
      </c>
      <c r="C54" s="40"/>
      <c r="D54" s="14"/>
      <c r="E54" s="15"/>
    </row>
    <row r="55" spans="1:5" ht="12.75">
      <c r="A55" s="9"/>
      <c r="B55" s="17" t="s">
        <v>9</v>
      </c>
      <c r="C55" s="40">
        <f>SUM('Q1'!C55,'Q2'!C55)</f>
        <v>100</v>
      </c>
      <c r="D55" s="14">
        <f>SUM('Q1'!D55,'Q2'!D55)</f>
        <v>72</v>
      </c>
      <c r="E55" s="15">
        <f>SUM(C55:D55)</f>
        <v>172</v>
      </c>
    </row>
    <row r="56" spans="1:5" ht="12.75">
      <c r="A56" s="9"/>
      <c r="B56" s="17" t="s">
        <v>10</v>
      </c>
      <c r="C56" s="40">
        <f>SUM('Q1'!C56,'Q2'!C56)</f>
        <v>10</v>
      </c>
      <c r="D56" s="14">
        <f>SUM('Q1'!D56,'Q2'!D56)</f>
        <v>0</v>
      </c>
      <c r="E56" s="15">
        <f>SUM(C56:D56)</f>
        <v>10</v>
      </c>
    </row>
    <row r="57" spans="1:5" ht="12.75">
      <c r="A57" s="9"/>
      <c r="B57" s="17" t="s">
        <v>11</v>
      </c>
      <c r="C57" s="40">
        <f>SUM('Q1'!C57,'Q2'!C57)</f>
        <v>0</v>
      </c>
      <c r="D57" s="14">
        <f>SUM('Q1'!D57,'Q2'!D57)</f>
        <v>0</v>
      </c>
      <c r="E57" s="15">
        <f>SUM(C57:D57)</f>
        <v>0</v>
      </c>
    </row>
    <row r="58" spans="1:5" ht="12.75">
      <c r="A58" s="9"/>
      <c r="B58" s="17" t="s">
        <v>12</v>
      </c>
      <c r="C58" s="40">
        <f>SUM('Q1'!C58,'Q2'!C58)</f>
        <v>4</v>
      </c>
      <c r="D58" s="14">
        <f>SUM('Q1'!D58,'Q2'!D58)</f>
        <v>0</v>
      </c>
      <c r="E58" s="15">
        <f>SUM(C58:D58)</f>
        <v>4</v>
      </c>
    </row>
    <row r="59" spans="1:5" ht="12.75">
      <c r="A59" s="9" t="s">
        <v>38</v>
      </c>
      <c r="B59" s="10" t="s">
        <v>39</v>
      </c>
      <c r="C59" s="41">
        <f>SUM(C55:C58)</f>
        <v>114</v>
      </c>
      <c r="D59" s="20">
        <f>SUM(D55:D58)</f>
        <v>72</v>
      </c>
      <c r="E59" s="12">
        <f>SUM(C59:D59)</f>
        <v>186</v>
      </c>
    </row>
    <row r="60" spans="1:5" ht="12.75">
      <c r="A60" s="9"/>
      <c r="B60" s="10"/>
      <c r="C60" s="40"/>
      <c r="D60" s="14"/>
      <c r="E60" s="15"/>
    </row>
    <row r="61" spans="1:5" ht="12.75">
      <c r="A61" s="9"/>
      <c r="B61" s="10" t="s">
        <v>40</v>
      </c>
      <c r="C61" s="40"/>
      <c r="D61" s="14"/>
      <c r="E61" s="15"/>
    </row>
    <row r="62" spans="1:5" ht="12.75">
      <c r="A62" s="9"/>
      <c r="B62" s="17" t="s">
        <v>9</v>
      </c>
      <c r="C62" s="40">
        <f>SUM('Q1'!C62,'Q2'!C62)</f>
        <v>1549</v>
      </c>
      <c r="D62" s="14">
        <f>SUM('Q1'!D62,'Q2'!D62)</f>
        <v>459</v>
      </c>
      <c r="E62" s="15">
        <f>SUM(C62:D62)</f>
        <v>2008</v>
      </c>
    </row>
    <row r="63" spans="1:5" ht="12.75">
      <c r="A63" s="9"/>
      <c r="B63" s="17" t="s">
        <v>10</v>
      </c>
      <c r="C63" s="40">
        <f>SUM('Q1'!C63,'Q2'!C63)</f>
        <v>84</v>
      </c>
      <c r="D63" s="14">
        <f>SUM('Q1'!D63,'Q2'!D63)</f>
        <v>10</v>
      </c>
      <c r="E63" s="15">
        <f>SUM(C63:D63)</f>
        <v>94</v>
      </c>
    </row>
    <row r="64" spans="1:5" ht="12.75">
      <c r="A64" s="9"/>
      <c r="B64" s="17" t="s">
        <v>11</v>
      </c>
      <c r="C64" s="40">
        <f>SUM('Q1'!C64,'Q2'!C64)</f>
        <v>17</v>
      </c>
      <c r="D64" s="14">
        <f>SUM('Q1'!D64,'Q2'!D64)</f>
        <v>0</v>
      </c>
      <c r="E64" s="15">
        <f>SUM(C64:D64)</f>
        <v>17</v>
      </c>
    </row>
    <row r="65" spans="1:5" ht="12.75">
      <c r="A65" s="9"/>
      <c r="B65" s="17" t="s">
        <v>12</v>
      </c>
      <c r="C65" s="40">
        <f>SUM('Q1'!C65,'Q2'!C65)</f>
        <v>35</v>
      </c>
      <c r="D65" s="14">
        <f>SUM('Q1'!D65,'Q2'!D65)</f>
        <v>0</v>
      </c>
      <c r="E65" s="15">
        <f>SUM(C65:D65)</f>
        <v>35</v>
      </c>
    </row>
    <row r="66" spans="1:5" ht="12.75">
      <c r="A66" s="9" t="s">
        <v>41</v>
      </c>
      <c r="B66" s="10" t="s">
        <v>42</v>
      </c>
      <c r="C66" s="41">
        <f>SUM(C62:C65)</f>
        <v>1685</v>
      </c>
      <c r="D66" s="20">
        <f>SUM(D62:D65)</f>
        <v>469</v>
      </c>
      <c r="E66" s="12">
        <f>SUM(C66:D66)</f>
        <v>2154</v>
      </c>
    </row>
    <row r="67" spans="1:5" ht="12.75">
      <c r="A67" s="9"/>
      <c r="B67" s="10"/>
      <c r="C67" s="40"/>
      <c r="D67" s="14"/>
      <c r="E67" s="15"/>
    </row>
    <row r="68" spans="1:5" ht="12.75">
      <c r="A68" s="9" t="s">
        <v>43</v>
      </c>
      <c r="B68" s="10" t="s">
        <v>44</v>
      </c>
      <c r="C68" s="40">
        <f>SUM('Q1'!C68,'Q2'!C68)</f>
        <v>762</v>
      </c>
      <c r="D68" s="14">
        <f>SUM('Q1'!D68,'Q2'!D68)</f>
        <v>37</v>
      </c>
      <c r="E68" s="12">
        <f>SUM(C68:D68)</f>
        <v>799</v>
      </c>
    </row>
    <row r="69" spans="1:5" ht="12.75">
      <c r="A69" s="9"/>
      <c r="B69" s="10"/>
      <c r="C69" s="40"/>
      <c r="D69" s="14"/>
      <c r="E69" s="15"/>
    </row>
    <row r="70" spans="1:5" ht="12.75">
      <c r="A70" s="9"/>
      <c r="B70" s="10" t="s">
        <v>45</v>
      </c>
      <c r="C70" s="40"/>
      <c r="D70" s="14"/>
      <c r="E70" s="15"/>
    </row>
    <row r="71" spans="1:5" ht="12.75">
      <c r="A71" s="9" t="s">
        <v>46</v>
      </c>
      <c r="B71" s="25" t="s">
        <v>47</v>
      </c>
      <c r="C71" s="40">
        <f>SUM('Q1'!C71,'Q2'!C71)</f>
        <v>127</v>
      </c>
      <c r="D71" s="14">
        <f>SUM('Q1'!D71,'Q2'!D71)</f>
        <v>181</v>
      </c>
      <c r="E71" s="15">
        <f aca="true" t="shared" si="2" ref="E71:E77">SUM(C71:D71)</f>
        <v>308</v>
      </c>
    </row>
    <row r="72" spans="1:5" ht="12.75">
      <c r="A72" s="9" t="s">
        <v>48</v>
      </c>
      <c r="B72" s="25" t="s">
        <v>49</v>
      </c>
      <c r="C72" s="40">
        <f>SUM('Q1'!C72,'Q2'!C72)</f>
        <v>835</v>
      </c>
      <c r="D72" s="14">
        <f>SUM('Q1'!D72,'Q2'!D72)</f>
        <v>961</v>
      </c>
      <c r="E72" s="15">
        <f t="shared" si="2"/>
        <v>1796</v>
      </c>
    </row>
    <row r="73" spans="1:5" ht="12.75">
      <c r="A73" s="9" t="s">
        <v>50</v>
      </c>
      <c r="B73" s="25" t="s">
        <v>51</v>
      </c>
      <c r="C73" s="40">
        <f>SUM('Q1'!C73,'Q2'!C73)</f>
        <v>623</v>
      </c>
      <c r="D73" s="14">
        <f>SUM('Q1'!D73,'Q2'!D73)</f>
        <v>1203</v>
      </c>
      <c r="E73" s="15">
        <f t="shared" si="2"/>
        <v>1826</v>
      </c>
    </row>
    <row r="74" spans="1:5" ht="12.75">
      <c r="A74" s="9" t="s">
        <v>52</v>
      </c>
      <c r="B74" s="25" t="s">
        <v>53</v>
      </c>
      <c r="C74" s="40">
        <f>SUM('Q1'!C74,'Q2'!C74)</f>
        <v>2644</v>
      </c>
      <c r="D74" s="14">
        <f>SUM('Q1'!D74,'Q2'!D74)</f>
        <v>3704</v>
      </c>
      <c r="E74" s="15">
        <f t="shared" si="2"/>
        <v>6348</v>
      </c>
    </row>
    <row r="75" spans="1:5" ht="12.75">
      <c r="A75" s="9" t="s">
        <v>54</v>
      </c>
      <c r="B75" s="25" t="s">
        <v>55</v>
      </c>
      <c r="C75" s="41">
        <f>SUM(C71:C74)</f>
        <v>4229</v>
      </c>
      <c r="D75" s="20">
        <f>SUM(D71:D74)</f>
        <v>6049</v>
      </c>
      <c r="E75" s="12">
        <f t="shared" si="2"/>
        <v>10278</v>
      </c>
    </row>
    <row r="76" spans="1:5" ht="12.75">
      <c r="A76" s="21" t="s">
        <v>56</v>
      </c>
      <c r="B76" s="22" t="s">
        <v>27</v>
      </c>
      <c r="C76" s="42">
        <f>SUM('Q1'!C76,'Q2'!C76)</f>
        <v>505</v>
      </c>
      <c r="D76" s="24">
        <f>SUM('Q1'!D76,'Q2'!D76)</f>
        <v>84</v>
      </c>
      <c r="E76" s="34">
        <f t="shared" si="2"/>
        <v>589</v>
      </c>
    </row>
    <row r="77" spans="1:5" ht="12.75">
      <c r="A77" s="9" t="s">
        <v>57</v>
      </c>
      <c r="B77" s="10" t="s">
        <v>58</v>
      </c>
      <c r="C77" s="41">
        <f>C75-C76</f>
        <v>3724</v>
      </c>
      <c r="D77" s="20">
        <f>D75-D76</f>
        <v>5965</v>
      </c>
      <c r="E77" s="12">
        <f t="shared" si="2"/>
        <v>9689</v>
      </c>
    </row>
    <row r="78" spans="1:5" ht="12.75">
      <c r="A78" s="9"/>
      <c r="B78" s="10"/>
      <c r="C78" s="40"/>
      <c r="D78" s="14"/>
      <c r="E78" s="15"/>
    </row>
    <row r="79" spans="1:5" ht="24">
      <c r="A79" s="9" t="s">
        <v>59</v>
      </c>
      <c r="B79" s="10" t="s">
        <v>60</v>
      </c>
      <c r="C79" s="41">
        <f>C52+C59+C66+C68+C77</f>
        <v>10209</v>
      </c>
      <c r="D79" s="20">
        <f>D52+D59+D66+D68+D77</f>
        <v>7760</v>
      </c>
      <c r="E79" s="12">
        <f>SUM(C79:D79)</f>
        <v>17969</v>
      </c>
    </row>
    <row r="80" spans="1:5" ht="12.75">
      <c r="A80" s="9"/>
      <c r="B80" s="27"/>
      <c r="C80" s="40"/>
      <c r="D80" s="14"/>
      <c r="E80" s="15"/>
    </row>
    <row r="81" spans="1:5" ht="12.75">
      <c r="A81" s="9" t="s">
        <v>61</v>
      </c>
      <c r="B81" s="10" t="s">
        <v>62</v>
      </c>
      <c r="C81" s="40">
        <f>SUM('Q1'!C81,'Q2'!C81)</f>
        <v>104</v>
      </c>
      <c r="D81" s="14">
        <f>SUM('Q1'!D81,'Q2'!D81)</f>
        <v>52</v>
      </c>
      <c r="E81" s="12">
        <f>SUM(C81:D81)</f>
        <v>156</v>
      </c>
    </row>
    <row r="82" spans="1:5" ht="12.75">
      <c r="A82" s="9"/>
      <c r="B82" s="27"/>
      <c r="C82" s="40"/>
      <c r="D82" s="14"/>
      <c r="E82" s="15"/>
    </row>
    <row r="83" spans="1:5" ht="24">
      <c r="A83" s="9" t="s">
        <v>63</v>
      </c>
      <c r="B83" s="10" t="s">
        <v>64</v>
      </c>
      <c r="C83" s="41">
        <f>C79+C81</f>
        <v>10313</v>
      </c>
      <c r="D83" s="20">
        <f>D79+D81</f>
        <v>7812</v>
      </c>
      <c r="E83" s="12">
        <f>SUM(C83:D83)</f>
        <v>18125</v>
      </c>
    </row>
    <row r="84" spans="1:5" ht="12.75">
      <c r="A84" s="9"/>
      <c r="B84" s="27"/>
      <c r="C84" s="40"/>
      <c r="D84" s="14"/>
      <c r="E84" s="15"/>
    </row>
    <row r="85" spans="1:5" ht="13.5" thickBot="1">
      <c r="A85" s="28" t="s">
        <v>65</v>
      </c>
      <c r="B85" s="29" t="s">
        <v>66</v>
      </c>
      <c r="C85" s="43">
        <f>+C8+C37-C83</f>
        <v>617</v>
      </c>
      <c r="D85" s="43">
        <f>+D8+D37-D83</f>
        <v>846</v>
      </c>
      <c r="E85" s="30">
        <f>SUM(C85:D85)</f>
        <v>1463</v>
      </c>
    </row>
    <row r="86" spans="1:5" ht="30" customHeight="1">
      <c r="A86" s="69" t="s">
        <v>67</v>
      </c>
      <c r="B86" s="70"/>
      <c r="C86" s="35">
        <f>(C8+C35)-(C76+C83)</f>
        <v>617</v>
      </c>
      <c r="D86" s="35">
        <f>(D8+D35)-(D76+D83)</f>
        <v>846</v>
      </c>
      <c r="E86" s="35">
        <f>(E8+E35)-(E76+E83)</f>
        <v>1463</v>
      </c>
    </row>
    <row r="87" spans="1:5" ht="42.75" customHeight="1">
      <c r="A87" s="67" t="s">
        <v>68</v>
      </c>
      <c r="B87" s="68"/>
      <c r="C87" s="68"/>
      <c r="D87" s="68"/>
      <c r="E87" s="68"/>
    </row>
    <row r="88" spans="1:5" ht="12.75">
      <c r="A88" s="36"/>
      <c r="B88" s="37"/>
      <c r="C88" s="37"/>
      <c r="D88" s="37"/>
      <c r="E88" s="37"/>
    </row>
    <row r="89" spans="1:5" ht="15" customHeight="1">
      <c r="A89" s="62" t="s">
        <v>69</v>
      </c>
      <c r="B89" s="63"/>
      <c r="C89" s="63"/>
      <c r="D89" s="63"/>
      <c r="E89" s="63"/>
    </row>
    <row r="90" ht="12.75">
      <c r="A90" s="31"/>
    </row>
    <row r="91" spans="1:5" ht="45.75" customHeight="1">
      <c r="A91" s="58" t="s">
        <v>70</v>
      </c>
      <c r="B91" s="59"/>
      <c r="C91" s="59"/>
      <c r="D91" s="59"/>
      <c r="E91" s="59"/>
    </row>
    <row r="92" ht="15" customHeight="1">
      <c r="A92" s="32"/>
    </row>
    <row r="93" ht="15.75">
      <c r="A93" s="33" t="s">
        <v>94</v>
      </c>
    </row>
  </sheetData>
  <sheetProtection/>
  <mergeCells count="6">
    <mergeCell ref="A91:E91"/>
    <mergeCell ref="A1:E1"/>
    <mergeCell ref="A89:E89"/>
    <mergeCell ref="C6:E6"/>
    <mergeCell ref="A87:E87"/>
    <mergeCell ref="A86:B86"/>
  </mergeCells>
  <printOptions/>
  <pageMargins left="0.25" right="0.25" top="0.8" bottom="0.33" header="0.48" footer="0.21"/>
  <pageSetup fitToHeight="1" fitToWidth="1" horizontalDpi="600" verticalDpi="600" orientation="portrait" paperSize="5"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Maddie's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ASD Maddie Funds</dc:title>
  <dc:subject/>
  <dc:creator> J.Lanza</dc:creator>
  <cp:keywords/>
  <dc:description/>
  <cp:lastModifiedBy>Laurie</cp:lastModifiedBy>
  <cp:lastPrinted>2011-03-14T20:09:02Z</cp:lastPrinted>
  <dcterms:created xsi:type="dcterms:W3CDTF">2005-11-17T14:52:16Z</dcterms:created>
  <dcterms:modified xsi:type="dcterms:W3CDTF">2011-05-05T13:37:30Z</dcterms:modified>
  <cp:category/>
  <cp:version/>
  <cp:contentType/>
  <cp:contentStatus/>
</cp:coreProperties>
</file>